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gon/Downloads/"/>
    </mc:Choice>
  </mc:AlternateContent>
  <xr:revisionPtr revIDLastSave="0" documentId="8_{0DE8F5E5-D98B-3442-84BE-D5EA1FF204DC}" xr6:coauthVersionLast="34" xr6:coauthVersionMax="34" xr10:uidLastSave="{00000000-0000-0000-0000-000000000000}"/>
  <bookViews>
    <workbookView xWindow="35100" yWindow="6840" windowWidth="36220" windowHeight="18980" activeTab="2" xr2:uid="{06679F38-40B3-4A34-860F-690D3A58D83C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R72" i="3" l="1"/>
  <c r="R71" i="3"/>
  <c r="L20" i="3"/>
  <c r="AY9" i="3"/>
  <c r="BE27" i="3"/>
  <c r="BE35" i="3"/>
  <c r="R28" i="3"/>
  <c r="R69" i="3"/>
  <c r="BE11" i="3" s="1"/>
  <c r="R58" i="3"/>
  <c r="R77" i="3"/>
  <c r="BK31" i="3" s="1"/>
  <c r="R70" i="3"/>
  <c r="BE19" i="3" s="1"/>
  <c r="R85" i="3"/>
  <c r="BQ22" i="3" s="1"/>
  <c r="R65" i="3"/>
  <c r="AY37" i="3" s="1"/>
  <c r="R63" i="3"/>
  <c r="AY21" i="3" s="1"/>
  <c r="R81" i="3"/>
  <c r="BQ34" i="3" s="1"/>
  <c r="R64" i="3"/>
  <c r="AY33" i="3" s="1"/>
  <c r="R60" i="3"/>
  <c r="AY25" i="3" s="1"/>
  <c r="R76" i="3"/>
  <c r="BK15" i="3" s="1"/>
  <c r="R62" i="3"/>
  <c r="AY17" i="3" s="1"/>
  <c r="R61" i="3"/>
  <c r="AY29" i="3" s="1"/>
  <c r="R59" i="3"/>
  <c r="AY13" i="3" s="1"/>
  <c r="R51" i="3"/>
  <c r="R43" i="3"/>
  <c r="R35" i="3"/>
  <c r="R42" i="3"/>
  <c r="R34" i="3"/>
  <c r="D34" i="3" s="1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B30" i="3" s="1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C41" i="3"/>
  <c r="D29" i="3"/>
  <c r="C35" i="3"/>
  <c r="B51" i="3"/>
  <c r="C40" i="3"/>
  <c r="D28" i="3"/>
  <c r="D35" i="3"/>
  <c r="C32" i="3"/>
  <c r="D36" i="3"/>
  <c r="B25" i="3"/>
  <c r="BO41" i="3"/>
  <c r="D8" i="3"/>
  <c r="B29" i="3"/>
  <c r="D38" i="3"/>
  <c r="C36" i="3"/>
  <c r="D49" i="3"/>
  <c r="C49" i="3"/>
  <c r="B49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B34" i="3" l="1"/>
  <c r="C34" i="3"/>
  <c r="C8" i="3"/>
  <c r="AM38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<sst xmlns="http://schemas.openxmlformats.org/spreadsheetml/2006/main" count="4552" uniqueCount="2581">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</sst>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1E7F-AE8F-44BD-B850-8391483B98A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" defaultRowHeight="15" x14ac:dyDescent="0.2"/>
  <cols>
    <col min="1" max="1" width="14" style="81"/>
  </cols>
  <sheetData>
    <row r="1" spans="1:44" x14ac:dyDescent="0.2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2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2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2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2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2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2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2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2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2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2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2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2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2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2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2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2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2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2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2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2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2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2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2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2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2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2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2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2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2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2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2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2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2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2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2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2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2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2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2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2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2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2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2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2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2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2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2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2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2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2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2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2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2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2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2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2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2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2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2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2">
      <c r="A103" s="82"/>
    </row>
    <row r="104" spans="1:44" x14ac:dyDescent="0.2">
      <c r="A104" s="82"/>
    </row>
    <row r="105" spans="1:44" x14ac:dyDescent="0.2">
      <c r="A105" s="82"/>
    </row>
    <row r="106" spans="1:44" x14ac:dyDescent="0.2">
      <c r="A106" s="82"/>
    </row>
    <row r="107" spans="1:44" x14ac:dyDescent="0.2">
      <c r="A107" s="82"/>
    </row>
    <row r="108" spans="1:44" x14ac:dyDescent="0.2">
      <c r="A108" s="82"/>
    </row>
    <row r="109" spans="1:44" x14ac:dyDescent="0.2">
      <c r="A109" s="82"/>
    </row>
    <row r="110" spans="1:44" x14ac:dyDescent="0.2">
      <c r="A110" s="82"/>
    </row>
    <row r="111" spans="1:44" x14ac:dyDescent="0.2">
      <c r="A111" s="82"/>
    </row>
    <row r="112" spans="1:44" x14ac:dyDescent="0.2">
      <c r="A112" s="82"/>
    </row>
    <row r="113" spans="1:43" x14ac:dyDescent="0.2">
      <c r="A113" s="82"/>
    </row>
    <row r="114" spans="1:43" x14ac:dyDescent="0.2">
      <c r="A114" s="82"/>
    </row>
    <row r="115" spans="1:43" x14ac:dyDescent="0.2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2527-19E5-4875-93D2-CFC0AC718D02}">
  <dimension ref="B1:I49"/>
  <sheetViews>
    <sheetView showGridLines="0" workbookViewId="0">
      <selection activeCell="C48" sqref="C48"/>
    </sheetView>
  </sheetViews>
  <sheetFormatPr baseColWidth="10" defaultColWidth="9.1640625" defaultRowHeight="15" x14ac:dyDescent="0.2"/>
  <cols>
    <col min="1" max="1" width="1.1640625" style="11" customWidth="1"/>
    <col min="2" max="2" width="18.83203125" style="11" bestFit="1" customWidth="1"/>
    <col min="3" max="3" width="20.33203125" style="11" customWidth="1"/>
    <col min="4" max="4" width="9.1640625" style="11"/>
    <col min="5" max="5" width="1.1640625" style="11" customWidth="1"/>
    <col min="6" max="6" width="9.1640625" style="11"/>
    <col min="7" max="7" width="27.5" style="11" bestFit="1" customWidth="1"/>
    <col min="8" max="8" width="2.6640625" style="11" customWidth="1"/>
    <col min="9" max="9" width="1.1640625" style="11" customWidth="1"/>
    <col min="10" max="16384" width="9.1640625" style="11"/>
  </cols>
  <sheetData>
    <row r="1" spans="2:9" ht="7.5" customHeight="1" x14ac:dyDescent="0.2"/>
    <row r="2" spans="2:9" ht="17" thickBot="1" x14ac:dyDescent="0.2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2">
      <c r="B3" s="86"/>
      <c r="C3" s="87"/>
      <c r="D3" s="88"/>
      <c r="F3" s="86"/>
      <c r="G3" s="87"/>
      <c r="H3" s="88"/>
    </row>
    <row r="4" spans="2:9" x14ac:dyDescent="0.2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2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2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2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2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2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2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2">
      <c r="B11" s="86"/>
      <c r="C11" s="87"/>
      <c r="D11" s="88"/>
      <c r="F11" s="95"/>
      <c r="G11" s="96"/>
      <c r="H11" s="97"/>
    </row>
    <row r="12" spans="2:9" x14ac:dyDescent="0.2">
      <c r="B12" s="98" t="s">
        <v>2184</v>
      </c>
      <c r="C12" s="107" t="s">
        <v>1151</v>
      </c>
      <c r="D12" s="88"/>
    </row>
    <row r="13" spans="2:9" ht="9" customHeight="1" x14ac:dyDescent="0.2">
      <c r="B13" s="95"/>
      <c r="C13" s="96"/>
      <c r="D13" s="97"/>
    </row>
    <row r="14" spans="2:9" ht="9" customHeight="1" x14ac:dyDescent="0.2"/>
    <row r="15" spans="2:9" ht="9" customHeight="1" x14ac:dyDescent="0.2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" thickBot="1" x14ac:dyDescent="0.2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2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2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2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2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2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2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2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2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2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2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2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2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2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2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2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2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2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2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2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2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2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2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2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2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2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2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2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2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2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2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2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2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2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DBAD2C3-6A5E-43E5-9FC6-9E3CAE1C968A}">
      <formula1>lang_list</formula1>
    </dataValidation>
    <dataValidation type="list" allowBlank="1" showInputMessage="1" showErrorMessage="1" promptTitle="Select Summer Time" prompt="Use drop-down List" sqref="C6" xr:uid="{28AC6A07-581B-484E-B93A-3F6462423AE7}">
      <formula1>"Yes,No"</formula1>
    </dataValidation>
    <dataValidation type="list" allowBlank="1" showInputMessage="1" showErrorMessage="1" promptTitle="Select GTM-time" prompt="Use drop-down List" sqref="C8" xr:uid="{EC83C832-B212-425C-9943-F17313271E59}">
      <formula1>$F$18:$F$41</formula1>
    </dataValidation>
    <dataValidation type="list" allowBlank="1" showInputMessage="1" showErrorMessage="1" promptTitle="Select Minutes" prompt="Use drop-down List" sqref="C10" xr:uid="{C6794E40-584C-4822-8504-C53404E82E2B}">
      <formula1>$F$43:$F$46</formula1>
    </dataValidation>
    <dataValidation type="list" allowBlank="1" showInputMessage="1" showErrorMessage="1" promptTitle="Select Your Favorite Team" prompt="Use drop-down List" sqref="C12" xr:uid="{5F5DA096-193C-403D-9698-1DEED542F9BD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AAD0-B7F9-4EC8-A89D-FA373AF4B5F2}">
  <sheetPr>
    <pageSetUpPr fitToPage="1"/>
  </sheetPr>
  <dimension ref="A1:BT97"/>
  <sheetViews>
    <sheetView showGridLines="0" tabSelected="1" topLeftCell="A15" zoomScaleNormal="100" workbookViewId="0">
      <selection activeCell="F25" sqref="F25"/>
    </sheetView>
  </sheetViews>
  <sheetFormatPr baseColWidth="10" defaultColWidth="9.1640625" defaultRowHeight="15" x14ac:dyDescent="0.2"/>
  <cols>
    <col min="1" max="1" width="4.83203125" style="4" customWidth="1"/>
    <col min="2" max="2" width="6.1640625" style="4" customWidth="1"/>
    <col min="3" max="3" width="11.6640625" style="4" bestFit="1" customWidth="1"/>
    <col min="4" max="4" width="7.33203125" style="5" customWidth="1"/>
    <col min="5" max="5" width="22.5" style="6" customWidth="1"/>
    <col min="6" max="7" width="4.3320312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640625" style="10" customWidth="1"/>
    <col min="16" max="16" width="6.6640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640625" style="58" hidden="1" customWidth="1"/>
    <col min="26" max="26" width="4.3320312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640625" style="59" hidden="1" customWidth="1"/>
    <col min="40" max="40" width="10" style="59" hidden="1" customWidth="1"/>
    <col min="41" max="41" width="15.33203125" style="60" hidden="1" customWidth="1"/>
    <col min="42" max="42" width="4.6640625" style="61" hidden="1" customWidth="1"/>
    <col min="43" max="46" width="4.6640625" style="62" hidden="1" customWidth="1"/>
    <col min="47" max="49" width="9.1640625" style="63" hidden="1" customWidth="1"/>
    <col min="50" max="50" width="9.1640625" style="64" hidden="1" customWidth="1"/>
    <col min="51" max="51" width="3.33203125" style="3" customWidth="1"/>
    <col min="52" max="52" width="19.6640625" style="3" customWidth="1"/>
    <col min="53" max="54" width="3" style="3" customWidth="1"/>
    <col min="55" max="56" width="2" style="3" customWidth="1"/>
    <col min="57" max="57" width="3.33203125" style="3" customWidth="1"/>
    <col min="58" max="58" width="19.6640625" style="3" customWidth="1"/>
    <col min="59" max="60" width="3" style="3" customWidth="1"/>
    <col min="61" max="62" width="2" style="3" customWidth="1"/>
    <col min="63" max="63" width="3.33203125" style="3" customWidth="1"/>
    <col min="64" max="64" width="19.6640625" style="3" customWidth="1"/>
    <col min="65" max="66" width="3" style="3" customWidth="1"/>
    <col min="67" max="68" width="2" style="3" customWidth="1"/>
    <col min="69" max="69" width="3.33203125" style="3" customWidth="1"/>
    <col min="70" max="70" width="19.6640625" style="3" customWidth="1"/>
    <col min="71" max="72" width="3" style="3" customWidth="1"/>
    <col min="73" max="16384" width="9.1640625" style="3"/>
  </cols>
  <sheetData>
    <row r="1" spans="1:72" ht="47" x14ac:dyDescent="0.2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"/>
    <row r="5" spans="1:72" ht="15" customHeight="1" x14ac:dyDescent="0.2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2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2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2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1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1</v>
      </c>
      <c r="AE8" s="58">
        <f>COUNTIF($S$7:$T$54,"=" &amp; AB8 &amp; "_lose")</f>
        <v>0</v>
      </c>
      <c r="AF8" s="58">
        <f>SUMIF($E$7:$E$54,$AB8,$F$7:$F$54) + SUMIF($H$7:$H$54,$AB8,$G$7:$G$54)</f>
        <v>9</v>
      </c>
      <c r="AG8" s="58">
        <f>SUMIF($E$7:$E$54,$AB8,$G$7:$G$54) + SUMIF($H$7:$H$54,$AB8,$F$7:$F$54)</f>
        <v>1</v>
      </c>
      <c r="AH8" s="58">
        <f>(AF8-AG8)+1</f>
        <v>9</v>
      </c>
      <c r="AI8" s="58">
        <f>AF8-AG8</f>
        <v>8</v>
      </c>
      <c r="AJ8" s="58">
        <f>(AI8-AI13)/AI12</f>
        <v>0.9285714285714286</v>
      </c>
      <c r="AK8" s="58">
        <f>AC8*3+AD8</f>
        <v>7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976.8574098571429</v>
      </c>
      <c r="AO8" s="60" t="str">
        <f>IF(SUM(AC8:AE11)=12,J9,INDEX(T,70,lang))</f>
        <v>Russia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Russia</v>
      </c>
      <c r="K9" s="70">
        <f>L9+M9+N9</f>
        <v>3</v>
      </c>
      <c r="L9" s="70">
        <f>VLOOKUP(1,AA8:AK11,3,FALSE)</f>
        <v>2</v>
      </c>
      <c r="M9" s="70">
        <f>VLOOKUP(1,AA8:AK11,4,FALSE)</f>
        <v>1</v>
      </c>
      <c r="N9" s="70">
        <f>VLOOKUP(1,AA8:AK11,5,FALSE)</f>
        <v>0</v>
      </c>
      <c r="O9" s="70" t="str">
        <f>VLOOKUP(1,AA8:AK11,6,FALSE) &amp; " - " &amp; VLOOKUP(1,AA8:AK11,7,FALSE)</f>
        <v>9 - 1</v>
      </c>
      <c r="P9" s="71">
        <f>L9*3+M9</f>
        <v>7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1</v>
      </c>
      <c r="AG9" s="58">
        <f>SUMIF($E$7:$E$54,$AB9,$G$7:$G$54) + SUMIF($H$7:$H$54,$AB9,$F$7:$F$54)</f>
        <v>6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503.83333333333331</v>
      </c>
      <c r="AM9" s="58">
        <f>VLOOKUP(AB9,db_fifarank,2,FALSE)/2000000</f>
        <v>2.7149999999999999E-4</v>
      </c>
      <c r="AN9" s="59">
        <f>1000*AK9/AK12+100*AJ9+10*AF9/AF12+1*AL9/AL12+AM9</f>
        <v>376.99174411397178</v>
      </c>
      <c r="AO9" s="60" t="str">
        <f>IF(SUM(AC8:AE11)=12,J10,INDEX(T,71,lang))</f>
        <v>Uruguay</v>
      </c>
      <c r="AP9" s="61">
        <f>SUMPRODUCT(($S$7:$S$54=AB9&amp;"_win")*($U$7:$U$54))+SUMPRODUCT(($T$7:$T$54=AB9&amp;"_win")*($U$7:$U$54))</f>
        <v>1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1</v>
      </c>
      <c r="AS9" s="62">
        <f>SUMPRODUCT(($E$7:$E$54=AB9)*($U$7:$U$54)*($G$7:$G$54))+SUMPRODUCT(($H$7:$H$54=AB9)*($U$7:$U$54)*($F$7:$F$54))</f>
        <v>0</v>
      </c>
      <c r="AT9" s="62">
        <f>AR9-AS9</f>
        <v>1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Uruguay</v>
      </c>
      <c r="K10" s="27">
        <f>L10+M10+N10</f>
        <v>3</v>
      </c>
      <c r="L10" s="27">
        <f>VLOOKUP(2,AA8:AK11,3,FALSE)</f>
        <v>2</v>
      </c>
      <c r="M10" s="27">
        <f>VLOOKUP(2,AA8:AK11,4,FALSE)</f>
        <v>1</v>
      </c>
      <c r="N10" s="27">
        <f>VLOOKUP(2,AA8:AK11,5,FALSE)</f>
        <v>0</v>
      </c>
      <c r="O10" s="27" t="str">
        <f>VLOOKUP(2,AA8:AK11,6,FALSE) &amp; " - " &amp; VLOOKUP(2,AA8:AK11,7,FALSE)</f>
        <v>3 - 1</v>
      </c>
      <c r="P10" s="73">
        <f>L10*3+M10</f>
        <v>7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0</v>
      </c>
      <c r="AG10" s="58">
        <f>SUMIF($E$7:$E$54,$AB10,$G$7:$G$54) + SUMIF($H$7:$H$54,$AB10,$F$7:$F$54)</f>
        <v>5</v>
      </c>
      <c r="AH10" s="58">
        <f>(AF10-AG10)+1</f>
        <v>-4</v>
      </c>
      <c r="AI10" s="58">
        <f>AF10-AG10</f>
        <v>-5</v>
      </c>
      <c r="AJ10" s="58">
        <f>(AI10-AI13)/AI12</f>
        <v>0</v>
      </c>
      <c r="AK10" s="58">
        <f>AC10*3+AD10</f>
        <v>0</v>
      </c>
      <c r="AL10" s="58">
        <f>AP10/AP12*1000+AQ10/AQ12*100+AT10/AT12*10+AR10/AR12</f>
        <v>-3.333333333333333</v>
      </c>
      <c r="AM10" s="58">
        <f>VLOOKUP(AB10,db_fifarank,2,FALSE)/2000000</f>
        <v>4.0250000000000003E-4</v>
      </c>
      <c r="AN10" s="59">
        <f>1000*AK10/AK12+100*AJ10+10*AF10/AF12+1*AL10/AL12+AM10</f>
        <v>-6.1570277140045914E-3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1</v>
      </c>
      <c r="AT10" s="62">
        <f>AR10-AS10</f>
        <v>-1</v>
      </c>
      <c r="AY10" s="129">
        <v>49</v>
      </c>
      <c r="AZ10" s="28" t="str">
        <f>AO8</f>
        <v>Russia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1 - 6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2</v>
      </c>
      <c r="AB11" s="59" t="str">
        <f>VLOOKUP("Uruguay",T,lang,FALSE)</f>
        <v>Uruguay</v>
      </c>
      <c r="AC11" s="58">
        <f>COUNTIF($S$7:$T$54,"=" &amp; AB11 &amp; "_win")</f>
        <v>2</v>
      </c>
      <c r="AD11" s="58">
        <f>COUNTIF($S$7:$T$54,"=" &amp; AB11 &amp; "_draw")</f>
        <v>1</v>
      </c>
      <c r="AE11" s="58">
        <f>COUNTIF($S$7:$T$54,"=" &amp; AB11 &amp; "_lose")</f>
        <v>0</v>
      </c>
      <c r="AF11" s="58">
        <f>SUMIF($E$7:$E$54,$AB11,$F$7:$F$54) + SUMIF($H$7:$H$54,$AB11,$G$7:$G$54)</f>
        <v>3</v>
      </c>
      <c r="AG11" s="58">
        <f>SUMIF($E$7:$E$54,$AB11,$G$7:$G$54) + SUMIF($H$7:$H$54,$AB11,$F$7:$F$54)</f>
        <v>1</v>
      </c>
      <c r="AH11" s="58">
        <f>(AF11-AG11)+1</f>
        <v>3</v>
      </c>
      <c r="AI11" s="58">
        <f>AF11-AG11</f>
        <v>2</v>
      </c>
      <c r="AJ11" s="58">
        <f>(AI11-AI13)/AI12</f>
        <v>0.5</v>
      </c>
      <c r="AK11" s="58">
        <f>AC11*3+AD11</f>
        <v>7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928.00046199999997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Spain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0 - 5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3</v>
      </c>
      <c r="AD12" s="58">
        <f t="shared" si="10"/>
        <v>2</v>
      </c>
      <c r="AE12" s="58">
        <f t="shared" si="10"/>
        <v>4</v>
      </c>
      <c r="AF12" s="58">
        <f t="shared" si="10"/>
        <v>10</v>
      </c>
      <c r="AG12" s="58">
        <f t="shared" si="10"/>
        <v>6</v>
      </c>
      <c r="AH12" s="58">
        <f>MAX(AH8:AH11)-AH13+1</f>
        <v>14</v>
      </c>
      <c r="AI12" s="58">
        <f>MAX(AI8:AI11)-AI13+1</f>
        <v>14</v>
      </c>
      <c r="AK12" s="58">
        <f t="shared" si="10"/>
        <v>8</v>
      </c>
      <c r="AL12" s="58">
        <f t="shared" si="10"/>
        <v>508.16666666666663</v>
      </c>
      <c r="AP12" s="58">
        <f>MAX(AP8:AP11)-MIN(AP8:AP11)+1</f>
        <v>2</v>
      </c>
      <c r="AQ12" s="58">
        <f>MAX(AQ8:AQ11)-MIN(AQ8:AQ11)+1</f>
        <v>1</v>
      </c>
      <c r="AR12" s="58">
        <f>MAX(AR8:AR11)-MIN(AR8:AR11)+1</f>
        <v>2</v>
      </c>
      <c r="AS12" s="58">
        <f>MAX(AS8:AS11)-MIN(AS8:AS11)+1</f>
        <v>2</v>
      </c>
      <c r="AT12" s="58">
        <f>MAX(AT8:AT11)-MIN(AT8:AT11)+1</f>
        <v>3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Russia</v>
      </c>
      <c r="BG12" s="29">
        <v>2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France</v>
      </c>
      <c r="BG13" s="32">
        <v>0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2</v>
      </c>
      <c r="AD14" s="58">
        <f>COUNTIF($S$7:$T$54,"=" &amp; AB14 &amp; "_draw")</f>
        <v>1</v>
      </c>
      <c r="AE14" s="58">
        <f>COUNTIF($S$7:$T$54,"=" &amp; AB14 &amp; "_lose")</f>
        <v>0</v>
      </c>
      <c r="AF14" s="58">
        <f>SUMIF($E$7:$E$54,$AB14,$F$7:$F$54) + SUMIF($H$7:$H$54,$AB14,$G$7:$G$54)</f>
        <v>7</v>
      </c>
      <c r="AG14" s="58">
        <f>SUMIF($E$7:$E$54,$AB14,$G$7:$G$54) + SUMIF($H$7:$H$54,$AB14,$F$7:$F$54)</f>
        <v>3</v>
      </c>
      <c r="AH14" s="58">
        <f>(AF14-AG14)*100+AK14*10000+AF14</f>
        <v>70407</v>
      </c>
      <c r="AI14" s="58">
        <f>AF14-AG14</f>
        <v>4</v>
      </c>
      <c r="AJ14" s="58">
        <f>(AI14-AI19)/AI18</f>
        <v>0.88888888888888884</v>
      </c>
      <c r="AK14" s="58">
        <f>AC14*3+AD14</f>
        <v>7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972.63956788888891</v>
      </c>
      <c r="AO14" s="60" t="str">
        <f>IF(SUM(AC14:AE17)=12,J15,INDEX(T,72,lang))</f>
        <v>Portugal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>
        <v>1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Portugal</v>
      </c>
      <c r="K15" s="70">
        <f>L15+M15+N15</f>
        <v>3</v>
      </c>
      <c r="L15" s="70">
        <f>VLOOKUP(1,AA14:AK17,3,FALSE)</f>
        <v>2</v>
      </c>
      <c r="M15" s="70">
        <f>VLOOKUP(1,AA14:AK17,4,FALSE)</f>
        <v>1</v>
      </c>
      <c r="N15" s="70">
        <f>VLOOKUP(1,AA14:AK17,5,FALSE)</f>
        <v>0</v>
      </c>
      <c r="O15" s="70" t="str">
        <f>VLOOKUP(1,AA14:AK17,6,FALSE) &amp; " - " &amp; VLOOKUP(1,AA14:AK17,7,FALSE)</f>
        <v>7 - 3</v>
      </c>
      <c r="P15" s="71">
        <f>L15*3+M15</f>
        <v>7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2</v>
      </c>
      <c r="AD15" s="58">
        <f>COUNTIF($S$7:$T$54,"=" &amp; AB15 &amp; "_draw")</f>
        <v>1</v>
      </c>
      <c r="AE15" s="58">
        <f>COUNTIF($S$7:$T$54,"=" &amp; AB15 &amp; "_lose")</f>
        <v>0</v>
      </c>
      <c r="AF15" s="58">
        <f>SUMIF($E$7:$E$54,$AB15,$F$7:$F$54) + SUMIF($H$7:$H$54,$AB15,$G$7:$G$54)</f>
        <v>7</v>
      </c>
      <c r="AG15" s="58">
        <f>SUMIF($E$7:$E$54,$AB15,$G$7:$G$54) + SUMIF($H$7:$H$54,$AB15,$F$7:$F$54)</f>
        <v>4</v>
      </c>
      <c r="AH15" s="58">
        <f>(AF15-AG15)*100+AK15*10000+AF15</f>
        <v>70307</v>
      </c>
      <c r="AI15" s="58">
        <f>AF15-AG15</f>
        <v>3</v>
      </c>
      <c r="AJ15" s="58">
        <f>(AI15-AI19)/AI18</f>
        <v>0.77777777777777779</v>
      </c>
      <c r="AK15" s="58">
        <f>AC15*3+AD15</f>
        <v>7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961.52839327777781</v>
      </c>
      <c r="AO15" s="60" t="str">
        <f>IF(SUM(AC14:AE17)=12,J16,INDEX(T,73,lang))</f>
        <v>Spain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Croatia</v>
      </c>
      <c r="BA15" s="32">
        <v>0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Spain</v>
      </c>
      <c r="K16" s="27">
        <f>L16+M16+N16</f>
        <v>3</v>
      </c>
      <c r="L16" s="27">
        <f>VLOOKUP(2,AA14:AK17,3,FALSE)</f>
        <v>2</v>
      </c>
      <c r="M16" s="27">
        <f>VLOOKUP(2,AA14:AK17,4,FALSE)</f>
        <v>1</v>
      </c>
      <c r="N16" s="27">
        <f>VLOOKUP(2,AA14:AK17,5,FALSE)</f>
        <v>0</v>
      </c>
      <c r="O16" s="27" t="str">
        <f>VLOOKUP(2,AA14:AK17,6,FALSE) &amp; " - " &amp; VLOOKUP(2,AA14:AK17,7,FALSE)</f>
        <v>7 - 4</v>
      </c>
      <c r="P16" s="73">
        <f>L16*3+M16</f>
        <v>7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3</v>
      </c>
      <c r="AF16" s="58">
        <f>SUMIF($E$7:$E$54,$AB16,$F$7:$F$54) + SUMIF($H$7:$H$54,$AB16,$G$7:$G$54)</f>
        <v>0</v>
      </c>
      <c r="AG16" s="58">
        <f>SUMIF($E$7:$E$54,$AB16,$G$7:$G$54) + SUMIF($H$7:$H$54,$AB16,$F$7:$F$54)</f>
        <v>4</v>
      </c>
      <c r="AH16" s="58">
        <f>(AF16-AG16)*100+AK16*10000+AF16</f>
        <v>-400</v>
      </c>
      <c r="AI16" s="58">
        <f>AF16-AG16</f>
        <v>-4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3.6900000000000002E-4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Russia</v>
      </c>
      <c r="BM16" s="29">
        <v>2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2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0</v>
      </c>
      <c r="N17" s="27">
        <f>VLOOKUP(3,AA14:AK17,5,FALSE)</f>
        <v>2</v>
      </c>
      <c r="O17" s="27" t="str">
        <f>VLOOKUP(3,AA14:AK17,6,FALSE) &amp; " - " &amp; VLOOKUP(3,AA14:AK17,7,FALSE)</f>
        <v>2 - 5</v>
      </c>
      <c r="P17" s="73">
        <f>L17*3+M17</f>
        <v>3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0</v>
      </c>
      <c r="AE17" s="58">
        <f>COUNTIF($S$7:$T$54,"=" &amp; AB17 &amp; "_lose")</f>
        <v>2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5</v>
      </c>
      <c r="AH17" s="58">
        <f>(AF17-AG17)*100+AK17*10000+AF17</f>
        <v>29702</v>
      </c>
      <c r="AI17" s="58">
        <f>AF17-AG17</f>
        <v>-3</v>
      </c>
      <c r="AJ17" s="58">
        <f>(AI17-AI19)/AI18</f>
        <v>0.1111111111111111</v>
      </c>
      <c r="AK17" s="58">
        <f>AC17*3+AD17</f>
        <v>3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388.6115101111111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Brazil</v>
      </c>
      <c r="BM17" s="32">
        <v>1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2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3</v>
      </c>
      <c r="O18" s="75" t="str">
        <f>VLOOKUP(4,AA14:AK17,6,FALSE) &amp; " - " &amp; VLOOKUP(4,AA14:AK17,7,FALSE)</f>
        <v>0 - 4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3</v>
      </c>
      <c r="AD18" s="58">
        <f t="shared" si="11"/>
        <v>2</v>
      </c>
      <c r="AE18" s="58">
        <f t="shared" si="11"/>
        <v>4</v>
      </c>
      <c r="AF18" s="58">
        <f t="shared" si="11"/>
        <v>8</v>
      </c>
      <c r="AG18" s="58">
        <f t="shared" si="11"/>
        <v>3</v>
      </c>
      <c r="AH18" s="58">
        <f>MAX(AH14:AH17)-AH19+1</f>
        <v>70808</v>
      </c>
      <c r="AI18" s="58">
        <f>MAX(AI14:AI17)-AI19+1</f>
        <v>9</v>
      </c>
      <c r="AK18" s="58">
        <f t="shared" si="11"/>
        <v>8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-400</v>
      </c>
      <c r="AI19" s="58">
        <f>MIN(AI14:AI17)</f>
        <v>-4</v>
      </c>
      <c r="AY19" s="130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0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3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4</v>
      </c>
      <c r="AG20" s="58">
        <f>SUMIF($E$7:$E$54,$AB20,$G$7:$G$54) + SUMIF($H$7:$H$54,$AB20,$F$7:$F$54)</f>
        <v>1</v>
      </c>
      <c r="AH20" s="58">
        <f>(AF20-AG20)*100+AK20*10000+AF20</f>
        <v>90304</v>
      </c>
      <c r="AI20" s="58">
        <f>AF20-AG20</f>
        <v>3</v>
      </c>
      <c r="AJ20" s="58">
        <f>(AI20-AI25)/AI24</f>
        <v>0.83333333333333337</v>
      </c>
      <c r="AK20" s="58">
        <f>AC20*3+AD20</f>
        <v>9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1093.3339248333332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Brazil</v>
      </c>
      <c r="BG20" s="29">
        <v>2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2</v>
      </c>
      <c r="G21" s="24">
        <v>0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3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4 - 1</v>
      </c>
      <c r="P21" s="71">
        <f>L21*3+M21</f>
        <v>9</v>
      </c>
      <c r="R21" s="58">
        <f>DATE(2018,6,19)+TIME(4,0,0)+gmt_delta</f>
        <v>43270.625</v>
      </c>
      <c r="S21" s="65" t="str">
        <f t="shared" si="2"/>
        <v>Poland_win</v>
      </c>
      <c r="T21" s="65" t="str">
        <f t="shared" si="3"/>
        <v>Senegal_lose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1</v>
      </c>
      <c r="AA21" s="58">
        <f>COUNTIF(AN20:AN23,CONCATENATE("&gt;=",AN21))</f>
        <v>3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6</v>
      </c>
      <c r="AG21" s="58">
        <f>SUMIF($E$7:$E$54,$AB21,$G$7:$G$54) + SUMIF($H$7:$H$54,$AB21,$F$7:$F$54)</f>
        <v>8</v>
      </c>
      <c r="AH21" s="58">
        <f>(AF21-AG21)*100+AK21*10000+AF21</f>
        <v>9806</v>
      </c>
      <c r="AI21" s="58">
        <f>AF21-AG21</f>
        <v>-2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126.11148461111111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Belgium</v>
      </c>
      <c r="BG21" s="32">
        <v>0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2</v>
      </c>
      <c r="G22" s="24">
        <v>0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2</v>
      </c>
      <c r="M22" s="27">
        <f>VLOOKUP(2,AA20:AK23,4,FALSE)</f>
        <v>0</v>
      </c>
      <c r="N22" s="27">
        <f>VLOOKUP(2,AA20:AK23,5,FALSE)</f>
        <v>1</v>
      </c>
      <c r="O22" s="27" t="str">
        <f>VLOOKUP(2,AA20:AK23,6,FALSE) &amp; " - " &amp; VLOOKUP(2,AA20:AK23,7,FALSE)</f>
        <v>4 - 3</v>
      </c>
      <c r="P22" s="73">
        <f>L22*3+M22</f>
        <v>6</v>
      </c>
      <c r="R22" s="58">
        <f>DATE(2018,6,19)+TIME(1,0,0)+gmt_delta</f>
        <v>43270.5</v>
      </c>
      <c r="S22" s="65" t="str">
        <f t="shared" si="2"/>
        <v>Colombia_win</v>
      </c>
      <c r="T22" s="65" t="str">
        <f t="shared" si="3"/>
        <v>Japan_lose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1</v>
      </c>
      <c r="AA22" s="58">
        <f>COUNTIF(AN20:AN23,CONCATENATE("&gt;=",AN22))</f>
        <v>4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1</v>
      </c>
      <c r="AE22" s="58">
        <f>COUNTIF($S$7:$T$54,"=" &amp; AB22 &amp; "_lose")</f>
        <v>2</v>
      </c>
      <c r="AF22" s="58">
        <f>SUMIF($E$7:$E$54,$AB22,$F$7:$F$54) + SUMIF($H$7:$H$54,$AB22,$G$7:$G$54)</f>
        <v>3</v>
      </c>
      <c r="AG22" s="58">
        <f>SUMIF($E$7:$E$54,$AB22,$G$7:$G$54) + SUMIF($H$7:$H$54,$AB22,$F$7:$F$54)</f>
        <v>5</v>
      </c>
      <c r="AH22" s="58">
        <f>(AF22-AG22)*100+AK22*10000+AF22</f>
        <v>9803</v>
      </c>
      <c r="AI22" s="58">
        <f>AF22-AG22</f>
        <v>-2</v>
      </c>
      <c r="AJ22" s="58">
        <f>(AI22-AI25)/AI24</f>
        <v>0</v>
      </c>
      <c r="AK22" s="58">
        <f>AC22*3+AD22</f>
        <v>1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118.61167511111111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>
        <v>1</v>
      </c>
      <c r="BB22" s="30">
        <v>5</v>
      </c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2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0</v>
      </c>
      <c r="H23" s="67" t="str">
        <f>AB10</f>
        <v>Egypt</v>
      </c>
      <c r="J23" s="72" t="str">
        <f>VLOOKUP(3,AA20:AK23,2,FALSE)</f>
        <v>Australia</v>
      </c>
      <c r="K23" s="27">
        <f>L23+M23+N23</f>
        <v>3</v>
      </c>
      <c r="L23" s="27">
        <f>VLOOKUP(3,AA20:AK23,3,FALSE)</f>
        <v>0</v>
      </c>
      <c r="M23" s="27">
        <f>VLOOKUP(3,AA20:AK23,4,FALSE)</f>
        <v>1</v>
      </c>
      <c r="N23" s="27">
        <f>VLOOKUP(3,AA20:AK23,5,FALSE)</f>
        <v>2</v>
      </c>
      <c r="O23" s="27" t="str">
        <f>VLOOKUP(3,AA20:AK23,6,FALSE) &amp; " - " &amp; VLOOKUP(3,AA20:AK23,7,FALSE)</f>
        <v>6 - 8</v>
      </c>
      <c r="P23" s="73">
        <f>L23*3+M23</f>
        <v>1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2</v>
      </c>
      <c r="AD23" s="58">
        <f>COUNTIF($S$7:$T$54,"=" &amp; AB23 &amp; "_draw")</f>
        <v>0</v>
      </c>
      <c r="AE23" s="58">
        <f>COUNTIF($S$7:$T$54,"=" &amp; AB23 &amp; "_lose")</f>
        <v>1</v>
      </c>
      <c r="AF23" s="58">
        <f>SUMIF($E$7:$E$54,$AB23,$F$7:$F$54) + SUMIF($H$7:$H$54,$AB23,$G$7:$G$54)</f>
        <v>4</v>
      </c>
      <c r="AG23" s="58">
        <f>SUMIF($E$7:$E$54,$AB23,$G$7:$G$54) + SUMIF($H$7:$H$54,$AB23,$F$7:$F$54)</f>
        <v>3</v>
      </c>
      <c r="AH23" s="58">
        <f>(AF23-AG23)*100+AK23*10000+AF23</f>
        <v>60104</v>
      </c>
      <c r="AI23" s="58">
        <f>AF23-AG23</f>
        <v>1</v>
      </c>
      <c r="AJ23" s="58">
        <f>(AI23-AI25)/AI24</f>
        <v>0.5</v>
      </c>
      <c r="AK23" s="58">
        <f>AC23*3+AD23</f>
        <v>6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726.66721616666666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Poland</v>
      </c>
      <c r="BA23" s="32">
        <v>1</v>
      </c>
      <c r="BB23" s="33">
        <v>4</v>
      </c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Russia</v>
      </c>
      <c r="BS23" s="29">
        <v>2</v>
      </c>
      <c r="BT23" s="30"/>
    </row>
    <row r="24" spans="1:72" ht="15" customHeight="1" x14ac:dyDescent="0.2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Peru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3 - 5</v>
      </c>
      <c r="P24" s="76">
        <f>L24*3+M24</f>
        <v>1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4</v>
      </c>
      <c r="AD24" s="58">
        <f t="shared" si="12"/>
        <v>2</v>
      </c>
      <c r="AE24" s="58">
        <f t="shared" si="12"/>
        <v>3</v>
      </c>
      <c r="AF24" s="58">
        <f t="shared" si="12"/>
        <v>4</v>
      </c>
      <c r="AG24" s="58">
        <f t="shared" si="12"/>
        <v>8</v>
      </c>
      <c r="AH24" s="58">
        <f>MAX(AH20:AH23)-AH25+1</f>
        <v>80502</v>
      </c>
      <c r="AI24" s="58">
        <f>MAX(AI20:AI23)-AI25+1</f>
        <v>6</v>
      </c>
      <c r="AK24" s="58">
        <f t="shared" si="12"/>
        <v>9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Germany</v>
      </c>
      <c r="BS24" s="32">
        <v>1</v>
      </c>
      <c r="BT24" s="33"/>
    </row>
    <row r="25" spans="1:72" ht="15" customHeight="1" x14ac:dyDescent="0.2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9803</v>
      </c>
      <c r="AI25" s="58">
        <f>MIN(AI20:AI23)</f>
        <v>-2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1</v>
      </c>
      <c r="G26" s="24">
        <v>2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2</v>
      </c>
      <c r="AD26" s="58">
        <f>COUNTIF($S$7:$T$54,"=" &amp; AB26 &amp; "_draw")</f>
        <v>1</v>
      </c>
      <c r="AE26" s="58">
        <f>COUNTIF($S$7:$T$54,"=" &amp; AB26 &amp; "_lose")</f>
        <v>0</v>
      </c>
      <c r="AF26" s="58">
        <f>SUMIF($E$7:$E$54,$AB26,$F$7:$F$54) + SUMIF($H$7:$H$54,$AB26,$G$7:$G$54)</f>
        <v>5</v>
      </c>
      <c r="AG26" s="58">
        <f>SUMIF($E$7:$E$54,$AB26,$G$7:$G$54) + SUMIF($H$7:$H$54,$AB26,$F$7:$F$54)</f>
        <v>2</v>
      </c>
      <c r="AH26" s="58">
        <f>(AF26-AG26)*100+AK26*10000+AF26</f>
        <v>70305</v>
      </c>
      <c r="AI26" s="58">
        <f>AF26-AG26</f>
        <v>3</v>
      </c>
      <c r="AJ26" s="58">
        <f>(AI26-AI31)/AI30</f>
        <v>0.875</v>
      </c>
      <c r="AK26" s="58">
        <f>AC26*3+AD26</f>
        <v>7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1097.5006739999999</v>
      </c>
      <c r="AO26" s="60" t="str">
        <f>IF(SUM(AC26:AE29)=12,J27,INDEX(T,76,lang))</f>
        <v>Argentina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Portugal</v>
      </c>
      <c r="BA26" s="29">
        <v>2</v>
      </c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Argentina</v>
      </c>
      <c r="K27" s="70">
        <f>L27+M27+N27</f>
        <v>3</v>
      </c>
      <c r="L27" s="70">
        <f>VLOOKUP(1,AA26:AK29,3,FALSE)</f>
        <v>2</v>
      </c>
      <c r="M27" s="70">
        <f>VLOOKUP(1,AA26:AK29,4,FALSE)</f>
        <v>1</v>
      </c>
      <c r="N27" s="70">
        <f>VLOOKUP(1,AA26:AK29,5,FALSE)</f>
        <v>0</v>
      </c>
      <c r="O27" s="70" t="str">
        <f>VLOOKUP(1,AA26:AK29,6,FALSE) &amp; " - " &amp; VLOOKUP(1,AA26:AK29,7,FALSE)</f>
        <v>5 - 2</v>
      </c>
      <c r="P27" s="71">
        <f>L27*3+M27</f>
        <v>7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3</v>
      </c>
      <c r="AE27" s="58">
        <f>COUNTIF($S$7:$T$54,"=" &amp; AB27 &amp; "_lose")</f>
        <v>0</v>
      </c>
      <c r="AF27" s="58">
        <f>SUMIF($E$7:$E$54,$AB27,$F$7:$F$54) + SUMIF($H$7:$H$54,$AB27,$G$7:$G$54)</f>
        <v>3</v>
      </c>
      <c r="AG27" s="58">
        <f>SUMIF($E$7:$E$54,$AB27,$G$7:$G$54) + SUMIF($H$7:$H$54,$AB27,$F$7:$F$54)</f>
        <v>3</v>
      </c>
      <c r="AH27" s="58">
        <f>(AF27-AG27)*100+AK27*10000+AF27</f>
        <v>30003</v>
      </c>
      <c r="AI27" s="58">
        <f>AF27-AG27</f>
        <v>0</v>
      </c>
      <c r="AJ27" s="58">
        <f>(AI27-AI31)/AI30</f>
        <v>0.5</v>
      </c>
      <c r="AK27" s="58">
        <f>AC27*3+AD27</f>
        <v>3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484.57188357142854</v>
      </c>
      <c r="AO27" s="60" t="str">
        <f>IF(SUM(AC26:AE29)=12,J28,INDEX(T,77,lang))</f>
        <v>Croatia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Uruguay</v>
      </c>
      <c r="BA27" s="32">
        <v>1</v>
      </c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3</v>
      </c>
      <c r="G28" s="24">
        <v>2</v>
      </c>
      <c r="H28" s="67" t="str">
        <f>AB21</f>
        <v>Australia</v>
      </c>
      <c r="J28" s="72" t="str">
        <f>VLOOKUP(2,AA26:AK29,2,FALSE)</f>
        <v>Croatia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4 - 3</v>
      </c>
      <c r="P28" s="73">
        <f>L28*3+M28</f>
        <v>4</v>
      </c>
      <c r="R28" s="58">
        <f>DATE(2018,6,21)+TIME(1,0,0)+gmt_delta</f>
        <v>43272.5</v>
      </c>
      <c r="S28" s="65" t="str">
        <f t="shared" si="2"/>
        <v>Denmark_win</v>
      </c>
      <c r="T28" s="65" t="str">
        <f t="shared" si="3"/>
        <v>Australia_lose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1</v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1</v>
      </c>
      <c r="AD28" s="58">
        <f>COUNTIF($S$7:$T$54,"=" &amp; AB28 &amp; "_draw")</f>
        <v>1</v>
      </c>
      <c r="AE28" s="58">
        <f>COUNTIF($S$7:$T$54,"=" &amp; AB28 &amp; "_lose")</f>
        <v>1</v>
      </c>
      <c r="AF28" s="58">
        <f>SUMIF($E$7:$E$54,$AB28,$F$7:$F$54) + SUMIF($H$7:$H$54,$AB28,$G$7:$G$54)</f>
        <v>4</v>
      </c>
      <c r="AG28" s="58">
        <f>SUMIF($E$7:$E$54,$AB28,$G$7:$G$54) + SUMIF($H$7:$H$54,$AB28,$F$7:$F$54)</f>
        <v>3</v>
      </c>
      <c r="AH28" s="58">
        <f>(AF28-AG28)*100+AK28*10000+AF28</f>
        <v>40104</v>
      </c>
      <c r="AI28" s="58">
        <f>AF28-AG28</f>
        <v>1</v>
      </c>
      <c r="AJ28" s="58">
        <f>(AI28-AI31)/AI30</f>
        <v>0.625</v>
      </c>
      <c r="AK28" s="58">
        <f>AC28*3+AD28</f>
        <v>4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641.92908042857141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Portugal</v>
      </c>
      <c r="BG28" s="29">
        <v>2</v>
      </c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2</v>
      </c>
      <c r="G29" s="24">
        <v>1</v>
      </c>
      <c r="H29" s="67" t="str">
        <f>AB28</f>
        <v>Croatia</v>
      </c>
      <c r="J29" s="72" t="str">
        <f>VLOOKUP(3,AA26:AK29,2,FALSE)</f>
        <v>Iceland</v>
      </c>
      <c r="K29" s="27">
        <f>L29+M29+N29</f>
        <v>3</v>
      </c>
      <c r="L29" s="27">
        <f>VLOOKUP(3,AA26:AK29,3,FALSE)</f>
        <v>0</v>
      </c>
      <c r="M29" s="27">
        <f>VLOOKUP(3,AA26:AK29,4,FALSE)</f>
        <v>3</v>
      </c>
      <c r="N29" s="27">
        <f>VLOOKUP(3,AA26:AK29,5,FALSE)</f>
        <v>0</v>
      </c>
      <c r="O29" s="27" t="str">
        <f>VLOOKUP(3,AA26:AK29,6,FALSE) &amp; " - " &amp; VLOOKUP(3,AA26:AK29,7,FALSE)</f>
        <v>3 - 3</v>
      </c>
      <c r="P29" s="73">
        <f>L29*3+M29</f>
        <v>3</v>
      </c>
      <c r="R29" s="58">
        <f>DATE(2018,6,21)+TIME(7,0,0)+gmt_delta</f>
        <v>43272.75</v>
      </c>
      <c r="S29" s="65" t="str">
        <f t="shared" si="2"/>
        <v>Argentina_win</v>
      </c>
      <c r="T29" s="65" t="str">
        <f t="shared" si="3"/>
        <v>Croatia_lose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1</v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1</v>
      </c>
      <c r="AE29" s="58">
        <f>COUNTIF($S$7:$T$54,"=" &amp; AB29 &amp; "_lose")</f>
        <v>2</v>
      </c>
      <c r="AF29" s="58">
        <f>SUMIF($E$7:$E$54,$AB29,$F$7:$F$54) + SUMIF($H$7:$H$54,$AB29,$G$7:$G$54)</f>
        <v>1</v>
      </c>
      <c r="AG29" s="58">
        <f>SUMIF($E$7:$E$54,$AB29,$G$7:$G$54) + SUMIF($H$7:$H$54,$AB29,$F$7:$F$54)</f>
        <v>5</v>
      </c>
      <c r="AH29" s="58">
        <f>(AF29-AG29)*100+AK29*10000+AF29</f>
        <v>9601</v>
      </c>
      <c r="AI29" s="58">
        <f>AF29-AG29</f>
        <v>-4</v>
      </c>
      <c r="AJ29" s="58">
        <f>(AI29-AI31)/AI30</f>
        <v>0</v>
      </c>
      <c r="AK29" s="58">
        <f>AC29*3+AD29</f>
        <v>1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144.85746285714285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Argentina</v>
      </c>
      <c r="BG29" s="32">
        <v>1</v>
      </c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1</v>
      </c>
      <c r="G30" s="24">
        <v>1</v>
      </c>
      <c r="H30" s="67" t="str">
        <f>AB27</f>
        <v>Iceland</v>
      </c>
      <c r="J30" s="74" t="str">
        <f>VLOOKUP(4,AA26:AK29,2,FALSE)</f>
        <v>Nigeria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1 - 5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Nigeria_draw</v>
      </c>
      <c r="T30" s="65" t="str">
        <f t="shared" si="3"/>
        <v>Iceland_draw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0</v>
      </c>
      <c r="AC30" s="58">
        <f t="shared" ref="AC30:AL30" si="13">MAX(AC26:AC29)-MIN(AC26:AC29)+1</f>
        <v>3</v>
      </c>
      <c r="AD30" s="58">
        <f t="shared" si="13"/>
        <v>3</v>
      </c>
      <c r="AE30" s="58">
        <f t="shared" si="13"/>
        <v>3</v>
      </c>
      <c r="AF30" s="58">
        <f t="shared" si="13"/>
        <v>5</v>
      </c>
      <c r="AG30" s="58">
        <f t="shared" si="13"/>
        <v>4</v>
      </c>
      <c r="AH30" s="58">
        <f>MAX(AH26:AH29)-AH31+1</f>
        <v>60705</v>
      </c>
      <c r="AI30" s="58">
        <f>MAX(AI26:AI29)-AI31+1</f>
        <v>8</v>
      </c>
      <c r="AK30" s="58">
        <f t="shared" si="13"/>
        <v>7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Argentina</v>
      </c>
      <c r="BA30" s="29">
        <v>1</v>
      </c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3</v>
      </c>
      <c r="G31" s="24">
        <v>1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9601</v>
      </c>
      <c r="AI31" s="58">
        <f>MIN(AI26:AI29)</f>
        <v>-4</v>
      </c>
      <c r="AY31" s="130"/>
      <c r="AZ31" s="31" t="str">
        <f>AO21</f>
        <v>Denmark</v>
      </c>
      <c r="BA31" s="32">
        <v>0</v>
      </c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2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7</v>
      </c>
      <c r="AG32" s="58">
        <f>SUMIF($E$7:$E$54,$AB32,$G$7:$G$54) + SUMIF($H$7:$H$54,$AB32,$F$7:$F$54)</f>
        <v>2</v>
      </c>
      <c r="AH32" s="58">
        <f>(AF32-AG32)*100+AK32*10000+AF32</f>
        <v>70507</v>
      </c>
      <c r="AI32" s="58">
        <f>AF32-AG32</f>
        <v>5</v>
      </c>
      <c r="AJ32" s="58">
        <f>(AI32-AI37)/AI36</f>
        <v>0.88888888888888884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1100.5562970555557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Portugal</v>
      </c>
      <c r="BM32" s="29">
        <v>0</v>
      </c>
      <c r="BN32" s="30"/>
      <c r="BO32" s="40"/>
      <c r="BP32" s="41"/>
      <c r="BQ32" s="134"/>
      <c r="BR32" s="135"/>
      <c r="BS32" s="135"/>
      <c r="BT32" s="136"/>
    </row>
    <row r="33" spans="1:72" ht="15" customHeight="1" x14ac:dyDescent="0.2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3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7 - 2</v>
      </c>
      <c r="P33" s="71">
        <f>L33*3+M33</f>
        <v>7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4</v>
      </c>
      <c r="AG33" s="58">
        <f>SUMIF($E$7:$E$54,$AB33,$G$7:$G$54) + SUMIF($H$7:$H$54,$AB33,$F$7:$F$54)</f>
        <v>3</v>
      </c>
      <c r="AH33" s="58">
        <f>(AF33-AG33)*100+AK33*10000+AF33</f>
        <v>50104</v>
      </c>
      <c r="AI33" s="58">
        <f>AF33-AG33</f>
        <v>1</v>
      </c>
      <c r="AJ33" s="58">
        <f>(AI33-AI37)/AI36</f>
        <v>0.44444444444444442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765.3974203968254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Germany</v>
      </c>
      <c r="BM33" s="32">
        <v>3</v>
      </c>
      <c r="BN33" s="33"/>
      <c r="BO33" s="41"/>
      <c r="BP33" s="41"/>
      <c r="BQ33" s="25"/>
      <c r="BR33" s="25"/>
      <c r="BS33" s="25"/>
      <c r="BT33" s="25"/>
    </row>
    <row r="34" spans="1:72" ht="15" customHeight="1" x14ac:dyDescent="0.2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4 - 3</v>
      </c>
      <c r="P34" s="73">
        <f>L34*3+M34</f>
        <v>5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146.19090119047621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Germany</v>
      </c>
      <c r="BA34" s="29">
        <v>2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2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2</v>
      </c>
      <c r="G35" s="24">
        <v>0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2 - 5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5</v>
      </c>
      <c r="AH35" s="58">
        <f>(AF35-AG35)*100+AK35*10000+AF35</f>
        <v>29702</v>
      </c>
      <c r="AI35" s="58">
        <f>AF35-AG35</f>
        <v>-3</v>
      </c>
      <c r="AJ35" s="58">
        <f>(AI35-AI37)/AI36</f>
        <v>0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431.90513990476188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Brazil</v>
      </c>
      <c r="BS35" s="29">
        <v>1</v>
      </c>
      <c r="BT35" s="30"/>
    </row>
    <row r="36" spans="1:72" ht="15" customHeight="1" x14ac:dyDescent="0.2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3</v>
      </c>
      <c r="G36" s="24">
        <v>0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6</v>
      </c>
      <c r="AG36" s="58">
        <f t="shared" si="14"/>
        <v>4</v>
      </c>
      <c r="AH36" s="58">
        <f>MAX(AH32:AH35)-AH37+1</f>
        <v>60806</v>
      </c>
      <c r="AI36" s="58">
        <f>MAX(AI32:AI35)-AI37+1</f>
        <v>9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Germany</v>
      </c>
      <c r="BG36" s="29">
        <v>3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Portugal</v>
      </c>
      <c r="BS36" s="32">
        <v>0</v>
      </c>
      <c r="BT36" s="33"/>
    </row>
    <row r="37" spans="1:72" ht="15" customHeight="1" x14ac:dyDescent="0.2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1</v>
      </c>
      <c r="G37" s="24">
        <v>2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England</v>
      </c>
      <c r="BG37" s="32">
        <v>0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0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Japan_lose</v>
      </c>
      <c r="T38" s="65" t="str">
        <f t="shared" si="3"/>
        <v>Senegal_win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-1</v>
      </c>
      <c r="AA38" s="58">
        <f>COUNTIF(AN38:AN41,CONCATENATE("&gt;=",AN38))</f>
        <v>1</v>
      </c>
      <c r="AB38" s="59" t="str">
        <f>VLOOKUP("Germany",T,lang,FALSE)</f>
        <v>Germany</v>
      </c>
      <c r="AC38" s="58">
        <f>COUNTIF($S$7:$T$54,"=" &amp; AB38 &amp; "_win")</f>
        <v>2</v>
      </c>
      <c r="AD38" s="58">
        <f>COUNTIF($S$7:$T$54,"=" &amp; AB38 &amp; "_draw")</f>
        <v>0</v>
      </c>
      <c r="AE38" s="58">
        <f>COUNTIF($S$7:$T$54,"=" &amp; AB38 &amp; "_lose")</f>
        <v>1</v>
      </c>
      <c r="AF38" s="58">
        <f>SUMIF($E$7:$E$54,$AB38,$F$7:$F$54) + SUMIF($H$7:$H$54,$AB38,$G$7:$G$54)</f>
        <v>7</v>
      </c>
      <c r="AG38" s="58">
        <f>SUMIF($E$7:$E$54,$AB38,$G$7:$G$54) + SUMIF($H$7:$H$54,$AB38,$F$7:$F$54)</f>
        <v>3</v>
      </c>
      <c r="AH38" s="58">
        <f>(AF38-AG38)*100+AK38*10000+AF38</f>
        <v>60407</v>
      </c>
      <c r="AI38" s="58">
        <f>AF38-AG38</f>
        <v>4</v>
      </c>
      <c r="AJ38" s="58">
        <f>(AI38-AI43)/AI42</f>
        <v>0.9</v>
      </c>
      <c r="AK38" s="58">
        <f>AC38*3+AD38</f>
        <v>6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958.81032480952376</v>
      </c>
      <c r="AO38" s="60" t="str">
        <f>IF(SUM(AC38:AE41)=12,J39,INDEX(T,80,lang))</f>
        <v>Germany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>
        <v>1</v>
      </c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1</v>
      </c>
      <c r="G39" s="24">
        <v>1</v>
      </c>
      <c r="H39" s="67" t="str">
        <f>AB8</f>
        <v>Russia</v>
      </c>
      <c r="J39" s="69" t="str">
        <f>VLOOKUP(1,AA38:AK41,2,FALSE)</f>
        <v>Germany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7 - 3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>Uruguay_draw</v>
      </c>
      <c r="T39" s="65" t="str">
        <f t="shared" si="3"/>
        <v>Russia_draw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0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2</v>
      </c>
      <c r="AH39" s="58">
        <f>(AF39-AG39)*100+AK39*10000+AF39</f>
        <v>60103</v>
      </c>
      <c r="AI39" s="58">
        <f>AF39-AG39</f>
        <v>1</v>
      </c>
      <c r="AJ39" s="58">
        <f>(AI39-AI43)/AI42</f>
        <v>0.6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922.14337314285706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>
        <v>2</v>
      </c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2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1</v>
      </c>
      <c r="G40" s="24">
        <v>0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3 - 2</v>
      </c>
      <c r="P40" s="73">
        <f>L40*3+M40</f>
        <v>6</v>
      </c>
      <c r="R40" s="58">
        <f>DATE(2018,6,25)+TIME(3,0,0)+gmt_delta</f>
        <v>43276.583333333336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1</v>
      </c>
      <c r="V40" s="58">
        <f t="shared" si="5"/>
        <v>1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3</v>
      </c>
      <c r="AG40" s="58">
        <f>SUMIF($E$7:$E$54,$AB40,$G$7:$G$54) + SUMIF($H$7:$H$54,$AB40,$F$7:$F$54)</f>
        <v>3</v>
      </c>
      <c r="AH40" s="58">
        <f>(AF40-AG40)*100+AK40*10000+AF40</f>
        <v>60003</v>
      </c>
      <c r="AI40" s="58">
        <f>AF40-AG40</f>
        <v>0</v>
      </c>
      <c r="AJ40" s="58">
        <f>(AI40-AI43)/AI42</f>
        <v>0.5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912.1433561428571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0</v>
      </c>
      <c r="G41" s="24">
        <v>3</v>
      </c>
      <c r="H41" s="67" t="str">
        <f>AB14</f>
        <v>Portugal</v>
      </c>
      <c r="J41" s="72" t="str">
        <f>VLOOKUP(3,AA38:AK41,2,FALSE)</f>
        <v>Sweden</v>
      </c>
      <c r="K41" s="27">
        <f>L41+M41+N41</f>
        <v>3</v>
      </c>
      <c r="L41" s="27">
        <f>VLOOKUP(3,AA38:AK41,3,FALSE)</f>
        <v>2</v>
      </c>
      <c r="M41" s="27">
        <f>VLOOKUP(3,AA38:AK41,4,FALSE)</f>
        <v>0</v>
      </c>
      <c r="N41" s="27">
        <f>VLOOKUP(3,AA38:AK41,5,FALSE)</f>
        <v>1</v>
      </c>
      <c r="O41" s="27" t="str">
        <f>VLOOKUP(3,AA38:AK41,6,FALSE) &amp; " - " &amp; VLOOKUP(3,AA38:AK41,7,FALSE)</f>
        <v>3 - 3</v>
      </c>
      <c r="P41" s="73">
        <f>L41*3+M41</f>
        <v>6</v>
      </c>
      <c r="R41" s="58">
        <f>DATE(2018,6,25)+TIME(7,0,0)+gmt_delta</f>
        <v>43276.75</v>
      </c>
      <c r="S41" s="65" t="str">
        <f t="shared" si="2"/>
        <v>Iran_lose</v>
      </c>
      <c r="T41" s="65" t="str">
        <f t="shared" si="3"/>
        <v>Portugal_win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-1</v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3</v>
      </c>
      <c r="AF41" s="58">
        <f>SUMIF($E$7:$E$54,$AB41,$F$7:$F$54) + SUMIF($H$7:$H$54,$AB41,$G$7:$G$54)</f>
        <v>2</v>
      </c>
      <c r="AG41" s="58">
        <f>SUMIF($E$7:$E$54,$AB41,$G$7:$G$54) + SUMIF($H$7:$H$54,$AB41,$F$7:$F$54)</f>
        <v>7</v>
      </c>
      <c r="AH41" s="58">
        <f>(AF41-AG41)*100+AK41*10000+AF41</f>
        <v>-498</v>
      </c>
      <c r="AI41" s="58">
        <f>AF41-AG41</f>
        <v>-5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3.3336183333333334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>Russia</v>
      </c>
      <c r="BP41" s="148"/>
      <c r="BQ41" s="148"/>
      <c r="BR41" s="148"/>
      <c r="BS41" s="148"/>
      <c r="BT41" s="148"/>
    </row>
    <row r="42" spans="1:72" ht="15" customHeight="1" x14ac:dyDescent="0.2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0</v>
      </c>
      <c r="H42" s="67" t="str">
        <f>AB16</f>
        <v>Morocco</v>
      </c>
      <c r="J42" s="74" t="str">
        <f>VLOOKUP(4,AA38:AK41,2,FALSE)</f>
        <v>Korea Republic</v>
      </c>
      <c r="K42" s="75">
        <f>L42+M42+N42</f>
        <v>3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3</v>
      </c>
      <c r="O42" s="75" t="str">
        <f>VLOOKUP(4,AA38:AK41,6,FALSE) &amp; " - " &amp; VLOOKUP(4,AA38:AK41,7,FALSE)</f>
        <v>2 - 7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>Spain_win</v>
      </c>
      <c r="T42" s="65" t="str">
        <f t="shared" si="3"/>
        <v>Morocco_lose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1</v>
      </c>
      <c r="AC42" s="58">
        <f t="shared" ref="AC42:AL42" si="15">MAX(AC38:AC41)-MIN(AC38:AC41)+1</f>
        <v>3</v>
      </c>
      <c r="AD42" s="58">
        <f t="shared" si="15"/>
        <v>1</v>
      </c>
      <c r="AE42" s="58">
        <f t="shared" si="15"/>
        <v>3</v>
      </c>
      <c r="AF42" s="58">
        <f t="shared" si="15"/>
        <v>6</v>
      </c>
      <c r="AG42" s="58">
        <f t="shared" si="15"/>
        <v>6</v>
      </c>
      <c r="AH42" s="58">
        <f>MAX(AH38:AH41)-AH43+1</f>
        <v>60906</v>
      </c>
      <c r="AI42" s="58">
        <f>MAX(AI38:AI41)-AI43+1</f>
        <v>10</v>
      </c>
      <c r="AK42" s="58">
        <f t="shared" si="15"/>
        <v>7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2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0</v>
      </c>
      <c r="G43" s="24">
        <v>1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Denmark_lose</v>
      </c>
      <c r="T43" s="65" t="str">
        <f t="shared" si="3"/>
        <v>France_win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-1</v>
      </c>
      <c r="AH43" s="58">
        <f>MIN(AH38:AH41)</f>
        <v>-498</v>
      </c>
      <c r="AI43" s="58">
        <f>MIN(AI38:AI41)</f>
        <v>-5</v>
      </c>
      <c r="AY43" s="80"/>
    </row>
    <row r="44" spans="1:72" ht="15" customHeight="1" x14ac:dyDescent="0.2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3</v>
      </c>
      <c r="G44" s="24">
        <v>3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Australia_draw</v>
      </c>
      <c r="T44" s="65" t="str">
        <f t="shared" si="3"/>
        <v>Peru_draw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0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7</v>
      </c>
      <c r="AG44" s="58">
        <f>SUMIF($E$7:$E$54,$AB44,$G$7:$G$54) + SUMIF($H$7:$H$54,$AB44,$F$7:$F$54)</f>
        <v>1</v>
      </c>
      <c r="AH44" s="58">
        <f>(AF44-AG44)*100+AK44*10000+AF44</f>
        <v>90607</v>
      </c>
      <c r="AI44" s="58">
        <f>AF44-AG44</f>
        <v>6</v>
      </c>
      <c r="AJ44" s="58">
        <f>(AI44-AI49)/AI48</f>
        <v>0.92307692307692313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1102.3083548076925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0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7 - 1</v>
      </c>
      <c r="P45" s="71">
        <f>L45*3+M45</f>
        <v>9</v>
      </c>
      <c r="R45" s="58">
        <f>DATE(2018,6,26)+TIME(7,0,0)+gmt_delta</f>
        <v>43277.75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1</v>
      </c>
      <c r="AE45" s="58">
        <f>COUNTIF($S$7:$T$54,"=" &amp; AB45 &amp; "_lose")</f>
        <v>2</v>
      </c>
      <c r="AF45" s="58">
        <f>SUMIF($E$7:$E$54,$AB45,$F$7:$F$54) + SUMIF($H$7:$H$54,$AB45,$G$7:$G$54)</f>
        <v>1</v>
      </c>
      <c r="AG45" s="58">
        <f>SUMIF($E$7:$E$54,$AB45,$G$7:$G$54) + SUMIF($H$7:$H$54,$AB45,$F$7:$F$54)</f>
        <v>7</v>
      </c>
      <c r="AH45" s="58">
        <f>(AF45-AG45)*100+AK45*10000+AF45</f>
        <v>9401</v>
      </c>
      <c r="AI45" s="58">
        <f>AF45-AG45</f>
        <v>-6</v>
      </c>
      <c r="AJ45" s="58">
        <f>(AI45-AI49)/AI48</f>
        <v>0</v>
      </c>
      <c r="AK45" s="58">
        <f>AC45*3+AD45</f>
        <v>1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112.53999303968254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1</v>
      </c>
      <c r="G46" s="24">
        <v>1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6 - 2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>Iceland_draw</v>
      </c>
      <c r="T46" s="65" t="str">
        <f t="shared" si="3"/>
        <v>Croatia_draw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0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1</v>
      </c>
      <c r="AE46" s="58">
        <f>COUNTIF($S$7:$T$54,"=" &amp; AB46 &amp; "_lose")</f>
        <v>2</v>
      </c>
      <c r="AF46" s="58">
        <f>SUMIF($E$7:$E$54,$AB46,$F$7:$F$54) + SUMIF($H$7:$H$54,$AB46,$G$7:$G$54)</f>
        <v>1</v>
      </c>
      <c r="AG46" s="58">
        <f>SUMIF($E$7:$E$54,$AB46,$G$7:$G$54) + SUMIF($H$7:$H$54,$AB46,$F$7:$F$54)</f>
        <v>5</v>
      </c>
      <c r="AH46" s="58">
        <f>(AF46-AG46)*100+AK46*10000+AF46</f>
        <v>9601</v>
      </c>
      <c r="AI46" s="58">
        <f>AF46-AG46</f>
        <v>-4</v>
      </c>
      <c r="AJ46" s="58">
        <f>(AI46-AI49)/AI48</f>
        <v>0.15384615384615385</v>
      </c>
      <c r="AK46" s="58">
        <f>AC46*3+AD46</f>
        <v>1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127.92471692429793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2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>
        <v>0</v>
      </c>
      <c r="G47" s="24">
        <v>3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0</v>
      </c>
      <c r="M47" s="27">
        <f>VLOOKUP(3,AA44:AK47,4,FALSE)</f>
        <v>1</v>
      </c>
      <c r="N47" s="27">
        <f>VLOOKUP(3,AA44:AK47,5,FALSE)</f>
        <v>2</v>
      </c>
      <c r="O47" s="27" t="str">
        <f>VLOOKUP(3,AA44:AK47,6,FALSE) &amp; " - " &amp; VLOOKUP(3,AA44:AK47,7,FALSE)</f>
        <v>1 - 5</v>
      </c>
      <c r="P47" s="73">
        <f>L47*3+M47</f>
        <v>1</v>
      </c>
      <c r="R47" s="58">
        <f>DATE(2018,6,27)+TIME(7,0,0)+gmt_delta</f>
        <v>43278.75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6</v>
      </c>
      <c r="AG47" s="58">
        <f>SUMIF($E$7:$E$54,$AB47,$G$7:$G$54) + SUMIF($H$7:$H$54,$AB47,$F$7:$F$54)</f>
        <v>2</v>
      </c>
      <c r="AH47" s="58">
        <f>(AF47-AG47)*100+AK47*10000+AF47</f>
        <v>60406</v>
      </c>
      <c r="AI47" s="58">
        <f>AF47-AG47</f>
        <v>4</v>
      </c>
      <c r="AJ47" s="58">
        <f>(AI47-AI49)/AI48</f>
        <v>0.76923076923076927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752.16169566117208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2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>
        <v>1</v>
      </c>
      <c r="G48" s="24">
        <v>1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1</v>
      </c>
      <c r="N48" s="75">
        <f>VLOOKUP(4,AA44:AK47,5,FALSE)</f>
        <v>2</v>
      </c>
      <c r="O48" s="75" t="str">
        <f>VLOOKUP(4,AA44:AK47,6,FALSE) &amp; " - " &amp; VLOOKUP(4,AA44:AK47,7,FALSE)</f>
        <v>1 - 7</v>
      </c>
      <c r="P48" s="76">
        <f>L48*3+M48</f>
        <v>1</v>
      </c>
      <c r="R48" s="58">
        <f>DATE(2018,6,27)+TIME(7,0,0)+gmt_delta</f>
        <v>43278.75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2</v>
      </c>
      <c r="AE48" s="58">
        <f t="shared" si="16"/>
        <v>3</v>
      </c>
      <c r="AF48" s="58">
        <f t="shared" si="16"/>
        <v>7</v>
      </c>
      <c r="AG48" s="58">
        <f t="shared" si="16"/>
        <v>7</v>
      </c>
      <c r="AH48" s="58">
        <f>MAX(AH44:AH47)-AH49+1</f>
        <v>81207</v>
      </c>
      <c r="AI48" s="58">
        <f>MAX(AI44:AI47)-AI49+1</f>
        <v>13</v>
      </c>
      <c r="AK48" s="58">
        <f t="shared" si="16"/>
        <v>9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2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>
        <v>1</v>
      </c>
      <c r="G49" s="24">
        <v>4</v>
      </c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>Korea Republic_lose</v>
      </c>
      <c r="T49" s="65" t="str">
        <f t="shared" si="3"/>
        <v>Germany_win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-1</v>
      </c>
      <c r="AH49" s="58">
        <f>MIN(AH44:AH47)</f>
        <v>9401</v>
      </c>
      <c r="AI49" s="58">
        <f>MIN(AI44:AI47)</f>
        <v>-6</v>
      </c>
      <c r="AY49" s="140"/>
      <c r="AZ49" s="141"/>
      <c r="BA49" s="141"/>
      <c r="BB49" s="142"/>
    </row>
    <row r="50" spans="1:54" ht="15" customHeight="1" x14ac:dyDescent="0.2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>
        <v>0</v>
      </c>
      <c r="G50" s="24">
        <v>1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2</v>
      </c>
      <c r="AB50" s="59" t="str">
        <f>VLOOKUP("Poland",T,lang,FALSE)</f>
        <v>Poland</v>
      </c>
      <c r="AC50" s="58">
        <f>COUNTIF($S$7:$T$54,"=" &amp; AB50 &amp; "_win")</f>
        <v>2</v>
      </c>
      <c r="AD50" s="58">
        <f>COUNTIF($S$7:$T$54,"=" &amp; AB50 &amp; "_draw")</f>
        <v>0</v>
      </c>
      <c r="AE50" s="58">
        <f>COUNTIF($S$7:$T$54,"=" &amp; AB50 &amp; "_lose")</f>
        <v>1</v>
      </c>
      <c r="AF50" s="58">
        <f>SUMIF($E$7:$E$54,$AB50,$F$7:$F$54) + SUMIF($H$7:$H$54,$AB50,$G$7:$G$54)</f>
        <v>5</v>
      </c>
      <c r="AG50" s="58">
        <f>SUMIF($E$7:$E$54,$AB50,$G$7:$G$54) + SUMIF($H$7:$H$54,$AB50,$F$7:$F$54)</f>
        <v>2</v>
      </c>
      <c r="AH50" s="58">
        <f>(AF50-AG50)*100+AK50*10000+AF50</f>
        <v>60305</v>
      </c>
      <c r="AI50" s="58">
        <f>AF50-AG50</f>
        <v>3</v>
      </c>
      <c r="AJ50" s="58">
        <f>(AI50-AI55)/AI54</f>
        <v>0.9</v>
      </c>
      <c r="AK50" s="58">
        <f>AC50*3+AD50</f>
        <v>6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848.33393783333338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2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>
        <v>1</v>
      </c>
      <c r="G51" s="24">
        <v>2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1</v>
      </c>
      <c r="N51" s="70">
        <f>VLOOKUP(1,AA50:AK53,5,FALSE)</f>
        <v>0</v>
      </c>
      <c r="O51" s="70" t="str">
        <f>VLOOKUP(1,AA50:AK53,6,FALSE) &amp; " - " &amp; VLOOKUP(1,AA50:AK53,7,FALSE)</f>
        <v>5 - 2</v>
      </c>
      <c r="P51" s="71">
        <f>L51*3+M51</f>
        <v>7</v>
      </c>
      <c r="R51" s="58">
        <f>DATE(2018,6,28)+TIME(7,0,0)+gmt_delta</f>
        <v>43279.75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1</v>
      </c>
      <c r="AF51" s="58">
        <f>SUMIF($E$7:$E$54,$AB51,$F$7:$F$54) + SUMIF($H$7:$H$54,$AB51,$G$7:$G$54)</f>
        <v>3</v>
      </c>
      <c r="AG51" s="58">
        <f>SUMIF($E$7:$E$54,$AB51,$G$7:$G$54) + SUMIF($H$7:$H$54,$AB51,$F$7:$F$54)</f>
        <v>3</v>
      </c>
      <c r="AH51" s="58">
        <f>(AF51-AG51)*100+AK51*10000+AF51</f>
        <v>40003</v>
      </c>
      <c r="AI51" s="58">
        <f>AF51-AG51</f>
        <v>0</v>
      </c>
      <c r="AJ51" s="58">
        <f>(AI51-AI55)/AI54</f>
        <v>0.6</v>
      </c>
      <c r="AK51" s="58">
        <f>AC51*3+AD51</f>
        <v>4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565.00044200000002</v>
      </c>
      <c r="AO51" s="60" t="str">
        <f>IF(SUM(AC50:AE53)=12,J52,INDEX(T,85,lang))</f>
        <v>Poland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2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>
        <v>1</v>
      </c>
      <c r="G52" s="24">
        <v>1</v>
      </c>
      <c r="H52" s="67" t="str">
        <f>AB46</f>
        <v>Tunisia</v>
      </c>
      <c r="J52" s="72" t="str">
        <f>VLOOKUP(2,AA50:AK53,2,FALSE)</f>
        <v>Poland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5 - 2</v>
      </c>
      <c r="P52" s="73">
        <f>L52*3+M52</f>
        <v>6</v>
      </c>
      <c r="R52" s="58">
        <f>DATE(2018,6,28)+TIME(7,0,0)+gmt_delta</f>
        <v>43279.75</v>
      </c>
      <c r="S52" s="65" t="str">
        <f t="shared" si="2"/>
        <v>Panama_draw</v>
      </c>
      <c r="T52" s="65" t="str">
        <f t="shared" si="3"/>
        <v>Tunisia_draw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0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1</v>
      </c>
      <c r="AE52" s="58">
        <f>COUNTIF($S$7:$T$54,"=" &amp; AB52 &amp; "_lose")</f>
        <v>0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70305</v>
      </c>
      <c r="AI52" s="58">
        <f>AF52-AG52</f>
        <v>3</v>
      </c>
      <c r="AJ52" s="58">
        <f>(AI52-AI55)/AI54</f>
        <v>0.9</v>
      </c>
      <c r="AK52" s="58">
        <f>AC52*3+AD52</f>
        <v>7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973.33387233333337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2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>
        <v>0</v>
      </c>
      <c r="G53" s="24">
        <v>2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1</v>
      </c>
      <c r="N53" s="27">
        <f>VLOOKUP(3,AA50:AK53,5,FALSE)</f>
        <v>1</v>
      </c>
      <c r="O53" s="27" t="str">
        <f>VLOOKUP(3,AA50:AK53,6,FALSE) &amp; " - " &amp; VLOOKUP(3,AA50:AK53,7,FALSE)</f>
        <v>3 - 3</v>
      </c>
      <c r="P53" s="73">
        <f>L53*3+M53</f>
        <v>4</v>
      </c>
      <c r="R53" s="58">
        <f>DATE(2018,6,28)+TIME(3,0,0)+gmt_delta</f>
        <v>43279.583333333336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0</v>
      </c>
      <c r="AE53" s="58">
        <f>COUNTIF($S$7:$T$54,"=" &amp; AB53 &amp; "_lose")</f>
        <v>3</v>
      </c>
      <c r="AF53" s="58">
        <f>SUMIF($E$7:$E$54,$AB53,$F$7:$F$54) + SUMIF($H$7:$H$54,$AB53,$G$7:$G$54)</f>
        <v>0</v>
      </c>
      <c r="AG53" s="58">
        <f>SUMIF($E$7:$E$54,$AB53,$G$7:$G$54) + SUMIF($H$7:$H$54,$AB53,$F$7:$F$54)</f>
        <v>6</v>
      </c>
      <c r="AH53" s="58">
        <f>(AF53-AG53)*100+AK53*10000+AF53</f>
        <v>-600</v>
      </c>
      <c r="AI53" s="58">
        <f>AF53-AG53</f>
        <v>-6</v>
      </c>
      <c r="AJ53" s="58">
        <f>(AI53-AI55)/AI54</f>
        <v>0</v>
      </c>
      <c r="AK53" s="58">
        <f>AC53*3+AD53</f>
        <v>0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2.9999999999999997E-4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>
        <v>1</v>
      </c>
      <c r="G54" s="33">
        <v>1</v>
      </c>
      <c r="H54" s="68" t="str">
        <f>AB52</f>
        <v>Colombia</v>
      </c>
      <c r="J54" s="74" t="str">
        <f>VLOOKUP(4,AA50:AK53,2,FALSE)</f>
        <v>Japan</v>
      </c>
      <c r="K54" s="75">
        <f>L54+M54+N54</f>
        <v>3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3</v>
      </c>
      <c r="O54" s="75" t="str">
        <f>VLOOKUP(4,AA50:AK53,6,FALSE) &amp; " - " &amp; VLOOKUP(4,AA50:AK53,7,FALSE)</f>
        <v>0 - 6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>Senegal_draw</v>
      </c>
      <c r="T54" s="65" t="str">
        <f t="shared" si="3"/>
        <v>Colombia_draw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0</v>
      </c>
      <c r="AC54" s="58">
        <f t="shared" ref="AC54:AL54" si="17">MAX(AC50:AC53)-MIN(AC50:AC53)+1</f>
        <v>3</v>
      </c>
      <c r="AD54" s="58">
        <f t="shared" si="17"/>
        <v>2</v>
      </c>
      <c r="AE54" s="58">
        <f t="shared" si="17"/>
        <v>4</v>
      </c>
      <c r="AF54" s="58">
        <f t="shared" si="17"/>
        <v>6</v>
      </c>
      <c r="AG54" s="58">
        <f t="shared" si="17"/>
        <v>5</v>
      </c>
      <c r="AH54" s="58">
        <f>MAX(AH50:AH53)-AH55+1</f>
        <v>70906</v>
      </c>
      <c r="AI54" s="58">
        <f>MAX(AI50:AI53)-AI55+1</f>
        <v>10</v>
      </c>
      <c r="AK54" s="58">
        <f t="shared" si="17"/>
        <v>8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-600</v>
      </c>
      <c r="AI55" s="58">
        <f>MIN(AI50:AI53)</f>
        <v>-6</v>
      </c>
    </row>
    <row r="56" spans="1:54" ht="12.75" customHeight="1" x14ac:dyDescent="0.2"/>
    <row r="57" spans="1:54" ht="12.75" customHeight="1" x14ac:dyDescent="0.2"/>
    <row r="58" spans="1:54" x14ac:dyDescent="0.2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>Russia</v>
      </c>
      <c r="T58" s="65" t="str">
        <f>IF(OR(S58="",S58="draw"),INDEX(T,86,lang),S58)</f>
        <v>Russia</v>
      </c>
    </row>
    <row r="59" spans="1:54" ht="12.75" customHeight="1" x14ac:dyDescent="0.2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2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>Portugal</v>
      </c>
      <c r="T60" s="65" t="str">
        <f>IF(OR(S60="",S60="draw"),INDEX(T,88,lang),S60)</f>
        <v>Portugal</v>
      </c>
    </row>
    <row r="61" spans="1:54" ht="12.75" customHeight="1" x14ac:dyDescent="0.2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>Argentina</v>
      </c>
      <c r="T61" s="65" t="str">
        <f>IF(OR(S61="",S61="draw"),INDEX(T,89,lang),S61)</f>
        <v>Argentina</v>
      </c>
    </row>
    <row r="62" spans="1:54" ht="12.75" customHeight="1" x14ac:dyDescent="0.2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2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2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>Germany</v>
      </c>
      <c r="T64" s="65" t="str">
        <f>IF(OR(S64="",S64="draw"),INDEX(T,92,lang),S64)</f>
        <v>Germany</v>
      </c>
    </row>
    <row r="65" spans="18:26" ht="12.75" customHeight="1" x14ac:dyDescent="0.2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>Russia</v>
      </c>
      <c r="T69" s="65" t="str">
        <f>IF(OR(S69="",S69="draw"),INDEX(T,94,lang),S69)</f>
        <v>Russia</v>
      </c>
    </row>
    <row r="70" spans="18:26" ht="12.75" customHeight="1" x14ac:dyDescent="0.2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>Brazil</v>
      </c>
      <c r="T70" s="65" t="str">
        <f>IF(OR(S70="",S70="draw"),INDEX(T,95,lang),S70)</f>
        <v>Brazil</v>
      </c>
    </row>
    <row r="71" spans="18:26" ht="12.75" customHeight="1" x14ac:dyDescent="0.2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>Portugal</v>
      </c>
      <c r="T71" s="65" t="str">
        <f>IF(OR(S71="",S71="draw"),INDEX(T,96,lang),S71)</f>
        <v>Portugal</v>
      </c>
    </row>
    <row r="72" spans="18:26" ht="12.75" customHeight="1" x14ac:dyDescent="0.2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>Germany</v>
      </c>
      <c r="T72" s="65" t="str">
        <f>IF(OR(S72="",S72="draw"),INDEX(T,97,lang),S72)</f>
        <v>Germany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>Russia</v>
      </c>
      <c r="T76" s="65" t="str">
        <f>IF(OR(S76="",S76="draw"),INDEX(T,98,lang),S76)</f>
        <v>Russia</v>
      </c>
      <c r="U76" s="65" t="str">
        <f>IF(OR(BM16="",BM17=""),"",IF(BM16&lt;BM17,BL16,IF(BM16&gt;BM17,BL17,IF(OR(BN16="",BN17=""),"draw",IF(BN16&lt;BN17,BL16,IF(BN16&gt;BN17,BL17,"draw"))))))</f>
        <v>Brazil</v>
      </c>
      <c r="Z76" s="65" t="str">
        <f>IF(OR(U76="",U76="draw"),INDEX(T,100,lang),U76)</f>
        <v>Brazil</v>
      </c>
    </row>
    <row r="77" spans="18:26" ht="12.75" customHeight="1" x14ac:dyDescent="0.2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>Germany</v>
      </c>
      <c r="T77" s="65" t="str">
        <f>IF(OR(S77="",S77="draw"),INDEX(T,99,lang),S77)</f>
        <v>Germany</v>
      </c>
      <c r="U77" s="65" t="str">
        <f>IF(OR(BM32="",BM33=""),"",IF(BM32&lt;BM33,BL32,IF(BM32&gt;BM33,BL33,IF(OR(BN32="",BN33=""),"draw",IF(BN32&lt;BN33,BL32,IF(BN32&gt;BN33,BL33,"draw"))))))</f>
        <v>Portugal</v>
      </c>
      <c r="Z77" s="65" t="str">
        <f>IF(OR(U77="",U77="draw"),INDEX(T,101,lang),U77)</f>
        <v>Portugal</v>
      </c>
    </row>
    <row r="79" spans="18:26" ht="12.75" customHeight="1" x14ac:dyDescent="0.2"/>
    <row r="80" spans="18:26" ht="12.75" customHeight="1" x14ac:dyDescent="0.2"/>
    <row r="81" spans="18:20" x14ac:dyDescent="0.2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>Brazil</v>
      </c>
    </row>
    <row r="83" spans="18:20" ht="12.75" customHeight="1" x14ac:dyDescent="0.2"/>
    <row r="84" spans="18:20" ht="12.75" customHeight="1" x14ac:dyDescent="0.2"/>
    <row r="85" spans="18:20" x14ac:dyDescent="0.2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>Russia</v>
      </c>
      <c r="T85" s="65" t="str">
        <f>S85</f>
        <v>Russia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5DC19248-CA97-4A65-901D-902A8CFD1871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C7F7E835-588F-4CFE-8B58-3E549F511EDD}">
      <formula1>"0,1,2,3,4,5,6,7,8,9"</formula1>
    </dataValidation>
  </dataValidations>
  <hyperlinks>
    <hyperlink ref="O3" location="Settings!C4" tooltip="Settings" display="Settings!C4" xr:uid="{B7D43826-7A10-4B1F-B7E9-9C5EA92B5AE3}"/>
    <hyperlink ref="J5:P5" r:id="rId1" tooltip="Excel Schedule" display="Home Page: www.excely.com" xr:uid="{F1B16304-7A83-4C19-8499-62AB6ADF14F7}"/>
    <hyperlink ref="J5:P6" r:id="rId2" tooltip="World Cup 2018 Schedule in Excel" display="Home Page: www.excely.com" xr:uid="{C5C0CB06-50F0-4DD5-AAB0-434A0F623240}"/>
    <hyperlink ref="AY46:BB52" r:id="rId3" tooltip="FIFA World Cup Historical Data 1930 - 2014" display="http://www.excely.com/football/fifa-world-cup-statistics.shtml" xr:uid="{3D7E925C-71F7-4395-AF7F-647ABF98F356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Microsoft Office User</cp:lastModifiedBy>
  <cp:lastPrinted>2018-01-03T15:36:04Z</cp:lastPrinted>
  <dcterms:created xsi:type="dcterms:W3CDTF">2017-12-27T19:32:51Z</dcterms:created>
  <dcterms:modified xsi:type="dcterms:W3CDTF">2018-06-18T17:36:56Z</dcterms:modified>
</cp:coreProperties>
</file>