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smith463/Desktop/"/>
    </mc:Choice>
  </mc:AlternateContent>
  <bookViews>
    <workbookView xWindow="0" yWindow="460" windowWidth="25240" windowHeight="1646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/>
  <c r="L20" i="3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T72" i="3"/>
  <c r="BL33" i="3"/>
  <c r="T61" i="3"/>
  <c r="BF29" i="3"/>
  <c r="P8" i="3"/>
  <c r="BQ6" i="3"/>
  <c r="P44" i="3"/>
  <c r="P38" i="3"/>
  <c r="AB9" i="3"/>
  <c r="E40" i="3"/>
  <c r="S40" i="3"/>
  <c r="AB33" i="3"/>
  <c r="E48" i="3"/>
  <c r="S48" i="3"/>
  <c r="AB44" i="3"/>
  <c r="E19" i="3"/>
  <c r="AB52" i="3"/>
  <c r="H37" i="3"/>
  <c r="I15" i="2"/>
  <c r="J14" i="3"/>
  <c r="K32" i="3"/>
  <c r="B31" i="2"/>
  <c r="B34" i="2"/>
  <c r="K14" i="3"/>
  <c r="M20" i="3"/>
  <c r="J26" i="3"/>
  <c r="L32" i="3"/>
  <c r="BJ41" i="3"/>
  <c r="J50" i="3"/>
  <c r="T62" i="3"/>
  <c r="BF20" i="3"/>
  <c r="T76" i="3"/>
  <c r="BR23" i="3"/>
  <c r="AB10" i="3"/>
  <c r="E8" i="3"/>
  <c r="AB22" i="3"/>
  <c r="H44" i="3"/>
  <c r="AB34" i="3"/>
  <c r="H31" i="3"/>
  <c r="AB45" i="3"/>
  <c r="E52" i="3"/>
  <c r="B17" i="2"/>
  <c r="J8" i="3"/>
  <c r="L14" i="3"/>
  <c r="K26" i="3"/>
  <c r="M32" i="3"/>
  <c r="J38" i="3"/>
  <c r="J44" i="3"/>
  <c r="T63" i="3"/>
  <c r="BF21" i="3"/>
  <c r="Z76" i="3"/>
  <c r="BR35" i="3"/>
  <c r="AB11" i="3"/>
  <c r="H8" i="3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/>
  <c r="AB14" i="3"/>
  <c r="AB26" i="3"/>
  <c r="AB38" i="3"/>
  <c r="AB47" i="3"/>
  <c r="H2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/>
  <c r="AB15" i="3"/>
  <c r="AB27" i="3"/>
  <c r="H13" i="3"/>
  <c r="AB39" i="3"/>
  <c r="H17" i="3"/>
  <c r="AB50" i="3"/>
  <c r="H53" i="3"/>
  <c r="H11" i="3"/>
  <c r="E44" i="3"/>
  <c r="S44" i="3"/>
  <c r="H28" i="3"/>
  <c r="B19" i="2"/>
  <c r="B23" i="2"/>
  <c r="AY6" i="3"/>
  <c r="M8" i="3"/>
  <c r="O14" i="3"/>
  <c r="N26" i="3"/>
  <c r="P32" i="3"/>
  <c r="M38" i="3"/>
  <c r="M44" i="3"/>
  <c r="N50" i="3"/>
  <c r="T58" i="3"/>
  <c r="BF12" i="3"/>
  <c r="T69" i="3"/>
  <c r="BL16" i="3"/>
  <c r="AB16" i="3"/>
  <c r="E10" i="3"/>
  <c r="AB28" i="3"/>
  <c r="AB40" i="3"/>
  <c r="H33" i="3"/>
  <c r="AB51" i="3"/>
  <c r="H38" i="3"/>
  <c r="B26" i="2"/>
  <c r="BE6" i="3"/>
  <c r="N8" i="3"/>
  <c r="P14" i="3"/>
  <c r="J20" i="3"/>
  <c r="O26" i="3"/>
  <c r="BQ31" i="3"/>
  <c r="N38" i="3"/>
  <c r="N44" i="3"/>
  <c r="O50" i="3"/>
  <c r="T59" i="3"/>
  <c r="BF13" i="3"/>
  <c r="T70" i="3"/>
  <c r="BL17" i="3"/>
  <c r="AB17" i="3"/>
  <c r="H10" i="3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/>
  <c r="T71" i="3"/>
  <c r="BL32" i="3"/>
  <c r="AB8" i="3"/>
  <c r="AB20" i="3"/>
  <c r="H43" i="3"/>
  <c r="AB32" i="3"/>
  <c r="E15" i="3"/>
  <c r="B46" i="2"/>
  <c r="AB53" i="3"/>
  <c r="E53" i="3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/>
  <c r="H15" i="3"/>
  <c r="X15" i="3"/>
  <c r="H32" i="3"/>
  <c r="X44" i="3"/>
  <c r="E27" i="3"/>
  <c r="S27" i="3"/>
  <c r="E11" i="3"/>
  <c r="S11" i="3"/>
  <c r="T11" i="3"/>
  <c r="H24" i="3"/>
  <c r="H7" i="3"/>
  <c r="E35" i="3"/>
  <c r="S35" i="3"/>
  <c r="S19" i="3"/>
  <c r="S52" i="3"/>
  <c r="S10" i="3"/>
  <c r="T10" i="3"/>
  <c r="X10" i="3"/>
  <c r="X8" i="3"/>
  <c r="S15" i="3"/>
  <c r="X53" i="3"/>
  <c r="S53" i="3"/>
  <c r="T53" i="3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/>
  <c r="H35" i="3"/>
  <c r="E20" i="3"/>
  <c r="E16" i="3"/>
  <c r="H48" i="3"/>
  <c r="T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/>
  <c r="T15" i="3"/>
  <c r="X35" i="3"/>
  <c r="T19" i="3"/>
  <c r="X11" i="3"/>
  <c r="X22" i="3"/>
  <c r="T27" i="3"/>
  <c r="T52" i="3"/>
  <c r="X48" i="3"/>
  <c r="S34" i="3"/>
  <c r="T34" i="3"/>
  <c r="X34" i="3"/>
  <c r="S46" i="3"/>
  <c r="T46" i="3"/>
  <c r="X46" i="3"/>
  <c r="S49" i="3"/>
  <c r="T49" i="3"/>
  <c r="X49" i="3"/>
  <c r="S45" i="3"/>
  <c r="T45" i="3"/>
  <c r="X45" i="3"/>
  <c r="S32" i="3"/>
  <c r="T32" i="3"/>
  <c r="X32" i="3"/>
  <c r="S24" i="3"/>
  <c r="T24" i="3"/>
  <c r="X24" i="3"/>
  <c r="S25" i="3"/>
  <c r="T25" i="3"/>
  <c r="X25" i="3"/>
  <c r="S29" i="3"/>
  <c r="T29" i="3"/>
  <c r="X29" i="3"/>
  <c r="S7" i="3"/>
  <c r="T7" i="3"/>
  <c r="X7" i="3"/>
  <c r="S17" i="3"/>
  <c r="T17" i="3"/>
  <c r="X17" i="3"/>
  <c r="S36" i="3"/>
  <c r="T36" i="3"/>
  <c r="X36" i="3"/>
  <c r="S14" i="3"/>
  <c r="T14" i="3"/>
  <c r="X14" i="3"/>
  <c r="S9" i="3"/>
  <c r="T9" i="3"/>
  <c r="X9" i="3"/>
  <c r="S47" i="3"/>
  <c r="T47" i="3"/>
  <c r="X47" i="3"/>
  <c r="S31" i="3"/>
  <c r="T31" i="3"/>
  <c r="X31" i="3"/>
  <c r="S38" i="3"/>
  <c r="T38" i="3"/>
  <c r="X38" i="3"/>
  <c r="S43" i="3"/>
  <c r="T43" i="3"/>
  <c r="X43" i="3"/>
  <c r="S41" i="3"/>
  <c r="T41" i="3"/>
  <c r="X41" i="3"/>
  <c r="S20" i="3"/>
  <c r="T20" i="3"/>
  <c r="X20" i="3"/>
  <c r="S21" i="3"/>
  <c r="T21" i="3"/>
  <c r="X21" i="3"/>
  <c r="S42" i="3"/>
  <c r="T42" i="3"/>
  <c r="X42" i="3"/>
  <c r="S13" i="3"/>
  <c r="T13" i="3"/>
  <c r="X13" i="3"/>
  <c r="S51" i="3"/>
  <c r="T51" i="3"/>
  <c r="X51" i="3"/>
  <c r="S39" i="3"/>
  <c r="X39" i="3"/>
  <c r="S18" i="3"/>
  <c r="T18" i="3"/>
  <c r="X18" i="3"/>
  <c r="S23" i="3"/>
  <c r="T23" i="3"/>
  <c r="X23" i="3"/>
  <c r="S33" i="3"/>
  <c r="T33" i="3"/>
  <c r="X33" i="3"/>
  <c r="S28" i="3"/>
  <c r="T28" i="3"/>
  <c r="X28" i="3"/>
  <c r="S26" i="3"/>
  <c r="T26" i="3"/>
  <c r="X26" i="3"/>
  <c r="X19" i="3"/>
  <c r="S16" i="3"/>
  <c r="T16" i="3"/>
  <c r="X16" i="3"/>
  <c r="S50" i="3"/>
  <c r="T50" i="3"/>
  <c r="X50" i="3"/>
  <c r="S30" i="3"/>
  <c r="T30" i="3"/>
  <c r="X30" i="3"/>
  <c r="S37" i="3"/>
  <c r="T37" i="3"/>
  <c r="X37" i="3"/>
  <c r="S12" i="3"/>
  <c r="T12" i="3"/>
  <c r="X12" i="3"/>
  <c r="X54" i="3"/>
  <c r="S54" i="3"/>
  <c r="T54" i="3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/>
  <c r="AI42" i="3"/>
  <c r="AJ41" i="3"/>
  <c r="AK29" i="3"/>
  <c r="AH29" i="3"/>
  <c r="AI37" i="3"/>
  <c r="AI36" i="3"/>
  <c r="AJ32" i="3"/>
  <c r="U7" i="3"/>
  <c r="V7" i="3"/>
  <c r="U8" i="3"/>
  <c r="W8" i="3"/>
  <c r="AI25" i="3"/>
  <c r="AI24" i="3"/>
  <c r="AJ21" i="3"/>
  <c r="AI49" i="3"/>
  <c r="AI48" i="3"/>
  <c r="AJ46" i="3"/>
  <c r="AI31" i="3"/>
  <c r="AI30" i="3"/>
  <c r="AJ26" i="3"/>
  <c r="AK34" i="3"/>
  <c r="AH34" i="3"/>
  <c r="AK39" i="3"/>
  <c r="AH39" i="3"/>
  <c r="AK17" i="3"/>
  <c r="AH17" i="3"/>
  <c r="AI19" i="3"/>
  <c r="AI18" i="3"/>
  <c r="AJ16" i="3"/>
  <c r="AI55" i="3"/>
  <c r="AI54" i="3"/>
  <c r="AJ53" i="3"/>
  <c r="AI13" i="3"/>
  <c r="AI12" i="3"/>
  <c r="AJ9" i="3"/>
  <c r="AH13" i="3"/>
  <c r="AH12" i="3"/>
  <c r="AE42" i="3"/>
  <c r="AK22" i="3"/>
  <c r="AH22" i="3"/>
  <c r="AK51" i="3"/>
  <c r="AH51" i="3"/>
  <c r="AK35" i="3"/>
  <c r="AH35" i="3"/>
  <c r="AE48" i="3"/>
  <c r="AK47" i="3"/>
  <c r="AH47" i="3"/>
  <c r="AK16" i="3"/>
  <c r="AH16" i="3"/>
  <c r="AK52" i="3"/>
  <c r="AH52" i="3"/>
  <c r="AK9" i="3"/>
  <c r="AE36" i="3"/>
  <c r="AK45" i="3"/>
  <c r="AH45" i="3"/>
  <c r="AE24" i="3"/>
  <c r="AE18" i="3"/>
  <c r="AK28" i="3"/>
  <c r="AH28" i="3"/>
  <c r="AD42" i="3"/>
  <c r="AE12" i="3"/>
  <c r="AE30" i="3"/>
  <c r="AK27" i="3"/>
  <c r="AH27" i="3"/>
  <c r="AK10" i="3"/>
  <c r="AK41" i="3"/>
  <c r="AH41" i="3"/>
  <c r="AD24" i="3"/>
  <c r="AK23" i="3"/>
  <c r="AH23" i="3"/>
  <c r="AK15" i="3"/>
  <c r="AH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/>
  <c r="U54" i="3"/>
  <c r="W54" i="3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K48" i="3"/>
  <c r="AH44" i="3"/>
  <c r="U51" i="3"/>
  <c r="U24" i="3"/>
  <c r="U30" i="3"/>
  <c r="AK30" i="3"/>
  <c r="AH26" i="3"/>
  <c r="AK12" i="3"/>
  <c r="AK18" i="3"/>
  <c r="AH14" i="3"/>
  <c r="U39" i="3"/>
  <c r="AH46" i="3"/>
  <c r="U20" i="3"/>
  <c r="AH53" i="3"/>
  <c r="AH40" i="3"/>
  <c r="AK42" i="3"/>
  <c r="AH38" i="3"/>
  <c r="AK36" i="3"/>
  <c r="AH32" i="3"/>
  <c r="AJ27" i="3"/>
  <c r="AK24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L27" i="3"/>
  <c r="AT18" i="3"/>
  <c r="AL14" i="3"/>
  <c r="AT12" i="3"/>
  <c r="AT48" i="3"/>
  <c r="AL46" i="3"/>
  <c r="AT42" i="3"/>
  <c r="AL38" i="3"/>
  <c r="AT24" i="3"/>
  <c r="AL23" i="3"/>
  <c r="AT36" i="3"/>
  <c r="AL35" i="3"/>
  <c r="AL16" i="3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/>
  <c r="AN51" i="3"/>
  <c r="AL24" i="3"/>
  <c r="AN21" i="3"/>
  <c r="AL18" i="3"/>
  <c r="AN16" i="3"/>
  <c r="AL30" i="3"/>
  <c r="AN26" i="3"/>
  <c r="AL48" i="3"/>
  <c r="AN46" i="3"/>
  <c r="AL36" i="3"/>
  <c r="AN32" i="3"/>
  <c r="AL42" i="3"/>
  <c r="AN38" i="3"/>
  <c r="AL12" i="3"/>
  <c r="AN9" i="3"/>
  <c r="AN15" i="3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/>
  <c r="AZ11" i="3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/>
  <c r="AZ22" i="3"/>
  <c r="M18" i="3"/>
  <c r="N18" i="3"/>
  <c r="L46" i="3"/>
  <c r="J15" i="3"/>
  <c r="AO14" i="3"/>
  <c r="AZ26" i="3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/>
  <c r="AZ10" i="3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/>
  <c r="AZ31" i="3"/>
  <c r="J21" i="3"/>
  <c r="AO20" i="3"/>
  <c r="AZ14" i="3"/>
  <c r="O22" i="3"/>
  <c r="L21" i="3"/>
  <c r="M24" i="3"/>
  <c r="J46" i="3"/>
  <c r="AO45" i="3"/>
  <c r="AZ39" i="3"/>
  <c r="L47" i="3"/>
  <c r="J27" i="3"/>
  <c r="AO26" i="3"/>
  <c r="AZ30" i="3"/>
  <c r="M27" i="3"/>
  <c r="L30" i="3"/>
  <c r="N27" i="3"/>
  <c r="M28" i="3"/>
  <c r="O47" i="3"/>
  <c r="J28" i="3"/>
  <c r="AO27" i="3"/>
  <c r="AZ15" i="3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/>
  <c r="AZ35" i="3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/>
  <c r="AZ18" i="3"/>
  <c r="O10" i="3"/>
  <c r="M42" i="3"/>
  <c r="M41" i="3"/>
  <c r="M40" i="3"/>
  <c r="M39" i="3"/>
  <c r="O41" i="3"/>
  <c r="L40" i="3"/>
  <c r="L39" i="3"/>
  <c r="O42" i="3"/>
  <c r="N41" i="3"/>
  <c r="J40" i="3"/>
  <c r="AO39" i="3"/>
  <c r="AZ19" i="3"/>
  <c r="J39" i="3"/>
  <c r="AO38" i="3"/>
  <c r="AZ34" i="3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S64" i="3"/>
  <c r="T64" i="3"/>
  <c r="BF36" i="3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<sst xmlns="http://schemas.openxmlformats.org/spreadsheetml/2006/main" count="4552" uniqueCount="2581">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</sst>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xmlns="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xmlns="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xmlns="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xmlns="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xmlns="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xmlns="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xmlns="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xmlns="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xmlns="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xmlns="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xmlns="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xmlns="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xmlns="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xmlns="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xmlns="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xmlns="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xmlns="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xmlns="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xmlns="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xmlns="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xmlns="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xmlns="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xmlns="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xmlns="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xmlns="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xmlns="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xmlns="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xmlns="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xmlns="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xmlns="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xmlns="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4" Type="http://schemas.openxmlformats.org/officeDocument/2006/relationships/printerSettings" Target="../printerSettings/printerSettings3.bin"/><Relationship Id="rId5" Type="http://schemas.openxmlformats.org/officeDocument/2006/relationships/drawing" Target="../drawings/drawing1.xml"/><Relationship Id="rId1" Type="http://schemas.openxmlformats.org/officeDocument/2006/relationships/hyperlink" Target="http://www.excely.com/ice-hockey/world-cup-2009-schedule/" TargetMode="External"/><Relationship Id="rId2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topLeftCell="A10" workbookViewId="0">
      <selection activeCell="C4" sqref="C4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1151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T97"/>
  <sheetViews>
    <sheetView showGridLines="0" tabSelected="1" topLeftCell="I7" workbookViewId="0">
      <selection activeCell="BU38" sqref="BU38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2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0.77777777777777779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687.77804477777784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2</v>
      </c>
      <c r="G9" s="24">
        <v>1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9 - 2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Portugal_win</v>
      </c>
      <c r="T9" s="65" t="str">
        <f t="shared" si="3"/>
        <v>Spain_lose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1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3</v>
      </c>
      <c r="AF9" s="58">
        <f>SUMIF($E$7:$E$54,$AB9,$F$7:$F$54) + SUMIF($H$7:$H$54,$AB9,$G$7:$G$54)</f>
        <v>2</v>
      </c>
      <c r="AG9" s="58">
        <f>SUMIF($E$7:$E$54,$AB9,$G$7:$G$54) + SUMIF($H$7:$H$54,$AB9,$F$7:$F$54)</f>
        <v>12</v>
      </c>
      <c r="AH9" s="58">
        <f>(AF9-AG9)+1</f>
        <v>-9</v>
      </c>
      <c r="AI9" s="58">
        <f>AF9-AG9</f>
        <v>-10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2.5002715000000002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1</v>
      </c>
      <c r="G10" s="24">
        <v>0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Morocco_win</v>
      </c>
      <c r="T10" s="65" t="str">
        <f t="shared" si="3"/>
        <v>Iran_lose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1</v>
      </c>
      <c r="AD10" s="58">
        <f>COUNTIF($S$7:$T$54,"=" &amp; AB10 &amp; "_draw")</f>
        <v>0</v>
      </c>
      <c r="AE10" s="58">
        <f>COUNTIF($S$7:$T$54,"=" &amp; AB10 &amp; "_lose")</f>
        <v>2</v>
      </c>
      <c r="AF10" s="58">
        <f>SUMIF($E$7:$E$54,$AB10,$F$7:$F$54) + SUMIF($H$7:$H$54,$AB10,$G$7:$G$54)</f>
        <v>4</v>
      </c>
      <c r="AG10" s="58">
        <f>SUMIF($E$7:$E$54,$AB10,$G$7:$G$54) + SUMIF($H$7:$H$54,$AB10,$F$7:$F$54)</f>
        <v>5</v>
      </c>
      <c r="AH10" s="58">
        <f>(AF10-AG10)+1</f>
        <v>0</v>
      </c>
      <c r="AI10" s="58">
        <f>AF10-AG10</f>
        <v>-1</v>
      </c>
      <c r="AJ10" s="58">
        <f>(AI10-AI13)/AI12</f>
        <v>0.5</v>
      </c>
      <c r="AK10" s="58">
        <f>AC10*3+AD10</f>
        <v>3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355.00040250000001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1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0</v>
      </c>
      <c r="H11" s="67" t="str">
        <f>AB21</f>
        <v>Australia</v>
      </c>
      <c r="J11" s="72" t="str">
        <f>VLOOKUP(3,AA8:AK11,2,FALSE)</f>
        <v>Egypt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4 - 5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9</v>
      </c>
      <c r="AG11" s="58">
        <f>SUMIF($E$7:$E$54,$AB11,$G$7:$G$54) + SUMIF($H$7:$H$54,$AB11,$F$7:$F$54)</f>
        <v>2</v>
      </c>
      <c r="AH11" s="58">
        <f>(AF11-AG11)+1</f>
        <v>8</v>
      </c>
      <c r="AI11" s="58">
        <f>AF11-AG11</f>
        <v>7</v>
      </c>
      <c r="AJ11" s="58">
        <f>(AI11-AI13)/AI12</f>
        <v>0.94444444444444442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1005.6949064444444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Spain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1</v>
      </c>
      <c r="G12" s="24">
        <v>2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2 - 12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8</v>
      </c>
      <c r="AG12" s="58">
        <f t="shared" si="10"/>
        <v>11</v>
      </c>
      <c r="AH12" s="58">
        <f>MAX(AH8:AH11)-AH13+1</f>
        <v>18</v>
      </c>
      <c r="AI12" s="58">
        <f>MAX(AI8:AI11)-AI13+1</f>
        <v>18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Spain</v>
      </c>
      <c r="BG12" s="29">
        <v>1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2</v>
      </c>
      <c r="G13" s="24">
        <v>2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-9</v>
      </c>
      <c r="AI13" s="58">
        <f>MIN(AI8:AI11)</f>
        <v>-10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Argentina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1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3</v>
      </c>
      <c r="AD14" s="58">
        <f>COUNTIF($S$7:$T$54,"=" &amp; AB14 &amp; "_draw")</f>
        <v>0</v>
      </c>
      <c r="AE14" s="58">
        <f>COUNTIF($S$7:$T$54,"=" &amp; AB14 &amp; "_lose")</f>
        <v>0</v>
      </c>
      <c r="AF14" s="58">
        <f>SUMIF($E$7:$E$54,$AB14,$F$7:$F$54) + SUMIF($H$7:$H$54,$AB14,$G$7:$G$54)</f>
        <v>7</v>
      </c>
      <c r="AG14" s="58">
        <f>SUMIF($E$7:$E$54,$AB14,$G$7:$G$54) + SUMIF($H$7:$H$54,$AB14,$F$7:$F$54)</f>
        <v>2</v>
      </c>
      <c r="AH14" s="58">
        <f>(AF14-AG14)*100+AK14*10000+AF14</f>
        <v>90507</v>
      </c>
      <c r="AI14" s="58">
        <f>AF14-AG14</f>
        <v>5</v>
      </c>
      <c r="AJ14" s="58">
        <f>(AI14-AI19)/AI18</f>
        <v>0.91666666666666663</v>
      </c>
      <c r="AK14" s="58">
        <f>AC14*3+AD14</f>
        <v>9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1000.4173456666666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Denmark</v>
      </c>
      <c r="BA14" s="29">
        <v>0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2</v>
      </c>
      <c r="G15" s="24">
        <v>0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3</v>
      </c>
      <c r="M15" s="70">
        <f>VLOOKUP(1,AA14:AK17,4,FALSE)</f>
        <v>0</v>
      </c>
      <c r="N15" s="70">
        <f>VLOOKUP(1,AA14:AK17,5,FALSE)</f>
        <v>0</v>
      </c>
      <c r="O15" s="70" t="str">
        <f>VLOOKUP(1,AA14:AK17,6,FALSE) &amp; " - " &amp; VLOOKUP(1,AA14:AK17,7,FALSE)</f>
        <v>7 - 2</v>
      </c>
      <c r="P15" s="71">
        <f>L15*3+M15</f>
        <v>9</v>
      </c>
      <c r="R15" s="58">
        <f>DATE(2018,6,17)+TIME(7,0,0)+gmt_delta</f>
        <v>43268.75</v>
      </c>
      <c r="S15" s="65" t="str">
        <f t="shared" si="2"/>
        <v>Brazil_win</v>
      </c>
      <c r="T15" s="65" t="str">
        <f t="shared" si="3"/>
        <v>Switzerland_lose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1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0</v>
      </c>
      <c r="AE15" s="58">
        <f>COUNTIF($S$7:$T$54,"=" &amp; AB15 &amp; "_lose")</f>
        <v>1</v>
      </c>
      <c r="AF15" s="58">
        <f>SUMIF($E$7:$E$54,$AB15,$F$7:$F$54) + SUMIF($H$7:$H$54,$AB15,$G$7:$G$54)</f>
        <v>5</v>
      </c>
      <c r="AG15" s="58">
        <f>SUMIF($E$7:$E$54,$AB15,$G$7:$G$54) + SUMIF($H$7:$H$54,$AB15,$F$7:$F$54)</f>
        <v>2</v>
      </c>
      <c r="AH15" s="58">
        <f>(AF15-AG15)*100+AK15*10000+AF15</f>
        <v>60305</v>
      </c>
      <c r="AI15" s="58">
        <f>AF15-AG15</f>
        <v>3</v>
      </c>
      <c r="AJ15" s="58">
        <f>(AI15-AI19)/AI18</f>
        <v>0.75</v>
      </c>
      <c r="AK15" s="58">
        <f>AC15*3+AD15</f>
        <v>6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681.25061549999998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1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1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0</v>
      </c>
      <c r="N16" s="27">
        <f>VLOOKUP(2,AA14:AK17,5,FALSE)</f>
        <v>1</v>
      </c>
      <c r="O16" s="27" t="str">
        <f>VLOOKUP(2,AA14:AK17,6,FALSE) &amp; " - " &amp; VLOOKUP(2,AA14:AK17,7,FALSE)</f>
        <v>5 - 2</v>
      </c>
      <c r="P16" s="73">
        <f>L16*3+M16</f>
        <v>6</v>
      </c>
      <c r="R16" s="58">
        <f>DATE(2018,6,17)+TIME(1,0,0)+gmt_delta</f>
        <v>43268.5</v>
      </c>
      <c r="S16" s="65" t="str">
        <f t="shared" si="2"/>
        <v>Costa Rica_draw</v>
      </c>
      <c r="T16" s="65" t="str">
        <f t="shared" si="3"/>
        <v>Serbia_draw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0</v>
      </c>
      <c r="AA16" s="58">
        <f>COUNTIF(AN14:AN17,CONCATENATE("&gt;=",AN16))</f>
        <v>3</v>
      </c>
      <c r="AB16" s="59" t="str">
        <f>VLOOKUP("Morocco",T,lang,FALSE)</f>
        <v>Morocco</v>
      </c>
      <c r="AC16" s="58">
        <f>COUNTIF($S$7:$T$54,"=" &amp; AB16 &amp; "_win")</f>
        <v>1</v>
      </c>
      <c r="AD16" s="58">
        <f>COUNTIF($S$7:$T$54,"=" &amp; AB16 &amp; "_draw")</f>
        <v>0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29802</v>
      </c>
      <c r="AI16" s="58">
        <f>AF16-AG16</f>
        <v>-2</v>
      </c>
      <c r="AJ16" s="58">
        <f>(AI16-AI19)/AI18</f>
        <v>0.33333333333333331</v>
      </c>
      <c r="AK16" s="58">
        <f>AC16*3+AD16</f>
        <v>3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335.83370233333329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Argentina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3</v>
      </c>
      <c r="G17" s="24">
        <v>2</v>
      </c>
      <c r="H17" s="67" t="str">
        <f>AB39</f>
        <v>Mexico</v>
      </c>
      <c r="J17" s="72" t="str">
        <f>VLOOKUP(3,AA14:AK17,2,FALSE)</f>
        <v>Morocco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2 - 4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Germany_win</v>
      </c>
      <c r="T17" s="65" t="str">
        <f t="shared" si="3"/>
        <v>Mexico_lose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1</v>
      </c>
      <c r="AA17" s="58">
        <f>COUNTIF(AN14:AN17,CONCATENATE("&gt;=",AN17))</f>
        <v>4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3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6</v>
      </c>
      <c r="AH17" s="58">
        <f>(AF17-AG17)*100+AK17*10000+AF17</f>
        <v>-600</v>
      </c>
      <c r="AI17" s="58">
        <f>AF17-AG17</f>
        <v>-6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2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2</v>
      </c>
      <c r="G18" s="24">
        <v>0</v>
      </c>
      <c r="H18" s="67" t="str">
        <f>AB41</f>
        <v>Korea Republic</v>
      </c>
      <c r="J18" s="74" t="str">
        <f>VLOOKUP(4,AA14:AK17,2,FALSE)</f>
        <v>Iran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0 - 6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4</v>
      </c>
      <c r="AD18" s="58">
        <f t="shared" si="11"/>
        <v>1</v>
      </c>
      <c r="AE18" s="58">
        <f t="shared" si="11"/>
        <v>4</v>
      </c>
      <c r="AF18" s="58">
        <f t="shared" si="11"/>
        <v>8</v>
      </c>
      <c r="AG18" s="58">
        <f t="shared" si="11"/>
        <v>5</v>
      </c>
      <c r="AH18" s="58">
        <f>MAX(AH14:AH17)-AH19+1</f>
        <v>91108</v>
      </c>
      <c r="AI18" s="58">
        <f>MAX(AI14:AI17)-AI19+1</f>
        <v>12</v>
      </c>
      <c r="AK18" s="58">
        <f t="shared" si="11"/>
        <v>10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-600</v>
      </c>
      <c r="AI19" s="58">
        <f>MIN(AI14:AI17)</f>
        <v>-6</v>
      </c>
      <c r="AY19" s="130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2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0</v>
      </c>
      <c r="AE20" s="58">
        <f>COUNTIF($S$7:$T$54,"=" &amp; AB20 &amp; "_lose")</f>
        <v>1</v>
      </c>
      <c r="AF20" s="58">
        <f>SUMIF($E$7:$E$54,$AB20,$F$7:$F$54) + SUMIF($H$7:$H$54,$AB20,$G$7:$G$54)</f>
        <v>5</v>
      </c>
      <c r="AG20" s="58">
        <f>SUMIF($E$7:$E$54,$AB20,$G$7:$G$54) + SUMIF($H$7:$H$54,$AB20,$F$7:$F$54)</f>
        <v>3</v>
      </c>
      <c r="AH20" s="58">
        <f>(AF20-AG20)*100+AK20*10000+AF20</f>
        <v>60205</v>
      </c>
      <c r="AI20" s="58">
        <f>AF20-AG20</f>
        <v>2</v>
      </c>
      <c r="AJ20" s="58">
        <f>(AI20-AI25)/AI24</f>
        <v>0.83333333333333337</v>
      </c>
      <c r="AK20" s="58">
        <f>AC20*3+AD20</f>
        <v>6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952.97678197619052</v>
      </c>
      <c r="AO20" s="60" t="str">
        <f>IF(SUM(AC20:AE23)=12,J21,INDEX(T,74,lang))</f>
        <v>Denmark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3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3</v>
      </c>
      <c r="G21" s="24">
        <v>1</v>
      </c>
      <c r="H21" s="67" t="str">
        <f>AB51</f>
        <v>Senegal</v>
      </c>
      <c r="J21" s="69" t="str">
        <f>VLOOKUP(1,AA20:AK23,2,FALSE)</f>
        <v>Denmark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6 - 4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3</v>
      </c>
      <c r="AG21" s="58">
        <f>SUMIF($E$7:$E$54,$AB21,$G$7:$G$54) + SUMIF($H$7:$H$54,$AB21,$F$7:$F$54)</f>
        <v>6</v>
      </c>
      <c r="AH21" s="58">
        <f>(AF21-AG21)*100+AK21*10000+AF21</f>
        <v>9703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150.35751635714286</v>
      </c>
      <c r="AO21" s="60" t="str">
        <f>IF(SUM(AC20:AE23)=12,J22,INDEX(T,75,lang))</f>
        <v>France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1</v>
      </c>
      <c r="H22" s="67" t="str">
        <f>AB53</f>
        <v>Japan</v>
      </c>
      <c r="J22" s="72" t="str">
        <f>VLOOKUP(2,AA20:AK23,2,FALSE)</f>
        <v>France</v>
      </c>
      <c r="K22" s="27">
        <f>L22+M22+N22</f>
        <v>3</v>
      </c>
      <c r="L22" s="27">
        <f>VLOOKUP(2,AA20:AK23,3,FALSE)</f>
        <v>2</v>
      </c>
      <c r="M22" s="27">
        <f>VLOOKUP(2,AA20:AK23,4,FALSE)</f>
        <v>0</v>
      </c>
      <c r="N22" s="27">
        <f>VLOOKUP(2,AA20:AK23,5,FALSE)</f>
        <v>1</v>
      </c>
      <c r="O22" s="27" t="str">
        <f>VLOOKUP(2,AA20:AK23,6,FALSE) &amp; " - " &amp; VLOOKUP(2,AA20:AK23,7,FALSE)</f>
        <v>5 - 3</v>
      </c>
      <c r="P22" s="73">
        <f>L22*3+M22</f>
        <v>6</v>
      </c>
      <c r="R22" s="58">
        <f>DATE(2018,6,19)+TIME(1,0,0)+gmt_delta</f>
        <v>43270.5</v>
      </c>
      <c r="S22" s="65" t="str">
        <f t="shared" si="2"/>
        <v>Colombia_draw</v>
      </c>
      <c r="T22" s="65" t="str">
        <f t="shared" si="3"/>
        <v>Japan_draw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0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4</v>
      </c>
      <c r="AG22" s="58">
        <f>SUMIF($E$7:$E$54,$AB22,$G$7:$G$54) + SUMIF($H$7:$H$54,$AB22,$F$7:$F$54)</f>
        <v>5</v>
      </c>
      <c r="AH22" s="58">
        <f>(AF22-AG22)*100+AK22*10000+AF22</f>
        <v>29904</v>
      </c>
      <c r="AI22" s="58">
        <f>AF22-AG22</f>
        <v>-1</v>
      </c>
      <c r="AJ22" s="58">
        <f>(AI22-AI25)/AI24</f>
        <v>0.33333333333333331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471.90532590476187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2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4 - 5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1</v>
      </c>
      <c r="AB23" s="59" t="str">
        <f>VLOOKUP("Denmark",T,lang,FALSE)</f>
        <v>Denmark</v>
      </c>
      <c r="AC23" s="58">
        <f>COUNTIF($S$7:$T$54,"=" &amp; AB23 &amp; "_win")</f>
        <v>2</v>
      </c>
      <c r="AD23" s="58">
        <f>COUNTIF($S$7:$T$54,"=" &amp; AB23 &amp; "_draw")</f>
        <v>1</v>
      </c>
      <c r="AE23" s="58">
        <f>COUNTIF($S$7:$T$54,"=" &amp; AB23 &amp; "_lose")</f>
        <v>0</v>
      </c>
      <c r="AF23" s="58">
        <f>SUMIF($E$7:$E$54,$AB23,$F$7:$F$54) + SUMIF($H$7:$H$54,$AB23,$G$7:$G$54)</f>
        <v>6</v>
      </c>
      <c r="AG23" s="58">
        <f>SUMIF($E$7:$E$54,$AB23,$G$7:$G$54) + SUMIF($H$7:$H$54,$AB23,$F$7:$F$54)</f>
        <v>4</v>
      </c>
      <c r="AH23" s="58">
        <f>(AF23-AG23)*100+AK23*10000+AF23</f>
        <v>70206</v>
      </c>
      <c r="AI23" s="58">
        <f>AF23-AG23</f>
        <v>2</v>
      </c>
      <c r="AJ23" s="58">
        <f>(AI23-AI25)/AI24</f>
        <v>0.83333333333333337</v>
      </c>
      <c r="AK23" s="58">
        <f>AC23*3+AD23</f>
        <v>7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1098.3338828333333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Colombia</v>
      </c>
      <c r="BA23" s="32">
        <v>1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Brazil</v>
      </c>
      <c r="BS23" s="29">
        <v>3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4</v>
      </c>
      <c r="G24" s="24">
        <v>1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3 - 6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2</v>
      </c>
      <c r="AE24" s="58">
        <f t="shared" si="12"/>
        <v>3</v>
      </c>
      <c r="AF24" s="58">
        <f t="shared" si="12"/>
        <v>4</v>
      </c>
      <c r="AG24" s="58">
        <f t="shared" si="12"/>
        <v>4</v>
      </c>
      <c r="AH24" s="58">
        <f>MAX(AH20:AH23)-AH25+1</f>
        <v>60504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Germany</v>
      </c>
      <c r="BS24" s="32">
        <v>2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2</v>
      </c>
      <c r="G25" s="24">
        <v>1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9703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2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2</v>
      </c>
      <c r="AE26" s="58">
        <f>COUNTIF($S$7:$T$54,"=" &amp; AB26 &amp; "_lose")</f>
        <v>0</v>
      </c>
      <c r="AF26" s="58">
        <f>SUMIF($E$7:$E$54,$AB26,$F$7:$F$54) + SUMIF($H$7:$H$54,$AB26,$G$7:$G$54)</f>
        <v>5</v>
      </c>
      <c r="AG26" s="58">
        <f>SUMIF($E$7:$E$54,$AB26,$G$7:$G$54) + SUMIF($H$7:$H$54,$AB26,$F$7:$F$54)</f>
        <v>4</v>
      </c>
      <c r="AH26" s="58">
        <f>(AF26-AG26)*100+AK26*10000+AF26</f>
        <v>50105</v>
      </c>
      <c r="AI26" s="58">
        <f>AF26-AG26</f>
        <v>1</v>
      </c>
      <c r="AJ26" s="58">
        <f>(AI26-AI31)/AI30</f>
        <v>0.66666666666666663</v>
      </c>
      <c r="AK26" s="58">
        <f>AC26*3+AD26</f>
        <v>5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701.66734066666663</v>
      </c>
      <c r="AO26" s="60" t="str">
        <f>IF(SUM(AC26:AE29)=12,J27,INDEX(T,76,lang))</f>
        <v>Iceland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Portugal</v>
      </c>
      <c r="BA26" s="29">
        <v>3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2</v>
      </c>
      <c r="G27" s="24">
        <v>1</v>
      </c>
      <c r="H27" s="67" t="str">
        <f>AB22</f>
        <v>Peru</v>
      </c>
      <c r="J27" s="69" t="str">
        <f>VLOOKUP(1,AA26:AK29,2,FALSE)</f>
        <v>Iceland</v>
      </c>
      <c r="K27" s="70">
        <f>L27+M27+N27</f>
        <v>3</v>
      </c>
      <c r="L27" s="70">
        <f>VLOOKUP(1,AA26:AK29,3,FALSE)</f>
        <v>2</v>
      </c>
      <c r="M27" s="70">
        <f>VLOOKUP(1,AA26:AK29,4,FALSE)</f>
        <v>1</v>
      </c>
      <c r="N27" s="70">
        <f>VLOOKUP(1,AA26:AK29,5,FALSE)</f>
        <v>0</v>
      </c>
      <c r="O27" s="70" t="str">
        <f>VLOOKUP(1,AA26:AK29,6,FALSE) &amp; " - " &amp; VLOOKUP(1,AA26:AK29,7,FALSE)</f>
        <v>6 - 4</v>
      </c>
      <c r="P27" s="71">
        <f>L27*3+M27</f>
        <v>7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1</v>
      </c>
      <c r="AB27" s="59" t="str">
        <f>VLOOKUP("Iceland",T,lang,FALSE)</f>
        <v>Iceland</v>
      </c>
      <c r="AC27" s="58">
        <f>COUNTIF($S$7:$T$54,"=" &amp; AB27 &amp; "_win")</f>
        <v>2</v>
      </c>
      <c r="AD27" s="58">
        <f>COUNTIF($S$7:$T$54,"=" &amp; AB27 &amp; "_draw")</f>
        <v>1</v>
      </c>
      <c r="AE27" s="58">
        <f>COUNTIF($S$7:$T$54,"=" &amp; AB27 &amp; "_lose")</f>
        <v>0</v>
      </c>
      <c r="AF27" s="58">
        <f>SUMIF($E$7:$E$54,$AB27,$F$7:$F$54) + SUMIF($H$7:$H$54,$AB27,$G$7:$G$54)</f>
        <v>6</v>
      </c>
      <c r="AG27" s="58">
        <f>SUMIF($E$7:$E$54,$AB27,$G$7:$G$54) + SUMIF($H$7:$H$54,$AB27,$F$7:$F$54)</f>
        <v>4</v>
      </c>
      <c r="AH27" s="58">
        <f>(AF27-AG27)*100+AK27*10000+AF27</f>
        <v>70206</v>
      </c>
      <c r="AI27" s="58">
        <f>AF27-AG27</f>
        <v>2</v>
      </c>
      <c r="AJ27" s="58">
        <f>(AI27-AI31)/AI30</f>
        <v>0.83333333333333337</v>
      </c>
      <c r="AK27" s="58">
        <f>AC27*3+AD27</f>
        <v>7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970.33378833333336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1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2</v>
      </c>
      <c r="G28" s="24">
        <v>2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2</v>
      </c>
      <c r="N28" s="27">
        <f>VLOOKUP(2,AA26:AK29,5,FALSE)</f>
        <v>0</v>
      </c>
      <c r="O28" s="27" t="str">
        <f>VLOOKUP(2,AA26:AK29,6,FALSE) &amp; " - " &amp; VLOOKUP(2,AA26:AK29,7,FALSE)</f>
        <v>5 - 4</v>
      </c>
      <c r="P28" s="73">
        <f>L28*3+M28</f>
        <v>5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3</v>
      </c>
      <c r="AB28" s="59" t="str">
        <f>VLOOKUP("Croatia",T,lang,FALSE)</f>
        <v>Croatia</v>
      </c>
      <c r="AC28" s="58">
        <f>COUNTIF($S$7:$T$54,"=" &amp; AB28 &amp; "_win")</f>
        <v>1</v>
      </c>
      <c r="AD28" s="58">
        <f>COUNTIF($S$7:$T$54,"=" &amp; AB28 &amp; "_draw")</f>
        <v>1</v>
      </c>
      <c r="AE28" s="58">
        <f>COUNTIF($S$7:$T$54,"=" &amp; AB28 &amp; "_lose")</f>
        <v>1</v>
      </c>
      <c r="AF28" s="58">
        <f>SUMIF($E$7:$E$54,$AB28,$F$7:$F$54) + SUMIF($H$7:$H$54,$AB28,$G$7:$G$54)</f>
        <v>3</v>
      </c>
      <c r="AG28" s="58">
        <f>SUMIF($E$7:$E$54,$AB28,$G$7:$G$54) + SUMIF($H$7:$H$54,$AB28,$F$7:$F$54)</f>
        <v>3</v>
      </c>
      <c r="AH28" s="58">
        <f>(AF28-AG28)*100+AK28*10000+AF28</f>
        <v>40003</v>
      </c>
      <c r="AI28" s="58">
        <f>AF28-AG28</f>
        <v>0</v>
      </c>
      <c r="AJ28" s="58">
        <f>(AI28-AI31)/AI30</f>
        <v>0.5</v>
      </c>
      <c r="AK28" s="58">
        <f>AC28*3+AD28</f>
        <v>4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556.00050899999997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Portugal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1</v>
      </c>
      <c r="G29" s="24">
        <v>1</v>
      </c>
      <c r="H29" s="67" t="str">
        <f>AB28</f>
        <v>Croatia</v>
      </c>
      <c r="J29" s="72" t="str">
        <f>VLOOKUP(3,AA26:AK29,2,FALSE)</f>
        <v>Croatia</v>
      </c>
      <c r="K29" s="27">
        <f>L29+M29+N29</f>
        <v>3</v>
      </c>
      <c r="L29" s="27">
        <f>VLOOKUP(3,AA26:AK29,3,FALSE)</f>
        <v>1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3 - 3</v>
      </c>
      <c r="P29" s="73">
        <f>L29*3+M29</f>
        <v>4</v>
      </c>
      <c r="R29" s="58">
        <f>DATE(2018,6,21)+TIME(7,0,0)+gmt_delta</f>
        <v>43272.75</v>
      </c>
      <c r="S29" s="65" t="str">
        <f t="shared" si="2"/>
        <v>Argentina_draw</v>
      </c>
      <c r="T29" s="65" t="str">
        <f t="shared" si="3"/>
        <v>Croatia_draw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0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3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5</v>
      </c>
      <c r="AH29" s="58">
        <f>(AF29-AG29)*100+AK29*10000+AF29</f>
        <v>-298</v>
      </c>
      <c r="AI29" s="58">
        <f>AF29-AG29</f>
        <v>-3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4.0003200000000003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France</v>
      </c>
      <c r="BG29" s="32">
        <v>1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1</v>
      </c>
      <c r="G30" s="24">
        <v>2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3</v>
      </c>
      <c r="O30" s="75" t="str">
        <f>VLOOKUP(4,AA26:AK29,6,FALSE) &amp; " - " &amp; VLOOKUP(4,AA26:AK29,7,FALSE)</f>
        <v>2 - 5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>Nigeria_lose</v>
      </c>
      <c r="T30" s="65" t="str">
        <f t="shared" si="3"/>
        <v>Iceland_win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-1</v>
      </c>
      <c r="AC30" s="58">
        <f t="shared" ref="AC30:AL30" si="13">MAX(AC26:AC29)-MIN(AC26:AC29)+1</f>
        <v>3</v>
      </c>
      <c r="AD30" s="58">
        <f t="shared" si="13"/>
        <v>3</v>
      </c>
      <c r="AE30" s="58">
        <f t="shared" si="13"/>
        <v>4</v>
      </c>
      <c r="AF30" s="58">
        <f t="shared" si="13"/>
        <v>5</v>
      </c>
      <c r="AG30" s="58">
        <f t="shared" si="13"/>
        <v>3</v>
      </c>
      <c r="AH30" s="58">
        <f>MAX(AH26:AH29)-AH31+1</f>
        <v>70505</v>
      </c>
      <c r="AI30" s="58">
        <f>MAX(AI26:AI29)-AI31+1</f>
        <v>6</v>
      </c>
      <c r="AK30" s="58">
        <f t="shared" si="13"/>
        <v>8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Iceland</v>
      </c>
      <c r="BA30" s="29">
        <v>1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3</v>
      </c>
      <c r="G31" s="24">
        <v>1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-298</v>
      </c>
      <c r="AI31" s="58">
        <f>MIN(AI26:AI29)</f>
        <v>-3</v>
      </c>
      <c r="AY31" s="130"/>
      <c r="AZ31" s="31" t="str">
        <f>AO21</f>
        <v>France</v>
      </c>
      <c r="BA31" s="32">
        <v>2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6</v>
      </c>
      <c r="AG32" s="58">
        <f>SUMIF($E$7:$E$54,$AB32,$G$7:$G$54) + SUMIF($H$7:$H$54,$AB32,$F$7:$F$54)</f>
        <v>2</v>
      </c>
      <c r="AH32" s="58">
        <f>(AF32-AG32)*100+AK32*10000+AF32</f>
        <v>70406</v>
      </c>
      <c r="AI32" s="58">
        <f>AF32-AG32</f>
        <v>4</v>
      </c>
      <c r="AJ32" s="58">
        <f>(AI32-AI37)/AI36</f>
        <v>0.8571428571428571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1267.3816938809525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Portugal</v>
      </c>
      <c r="BM32" s="29">
        <v>1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6 - 2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3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0</v>
      </c>
      <c r="AE33" s="58">
        <f>COUNTIF($S$7:$T$54,"=" &amp; AB33 &amp; "_lose")</f>
        <v>2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5</v>
      </c>
      <c r="AH33" s="58">
        <f>(AF33-AG33)*100+AK33*10000+AF33</f>
        <v>29803</v>
      </c>
      <c r="AI33" s="58">
        <f>AF33-AG33</f>
        <v>-2</v>
      </c>
      <c r="AJ33" s="58">
        <f>(AI33-AI37)/AI36</f>
        <v>0</v>
      </c>
      <c r="AK33" s="58">
        <f>AC33*3+AD33</f>
        <v>3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507.50059499999998</v>
      </c>
      <c r="AO33" s="60" t="str">
        <f>IF(SUM(AC32:AE35)=12,J34,INDEX(T,79,lang))</f>
        <v>Costa Rica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Germany</v>
      </c>
      <c r="BM33" s="32">
        <v>2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3</v>
      </c>
      <c r="H34" s="67" t="str">
        <f>AB39</f>
        <v>Mexico</v>
      </c>
      <c r="J34" s="72" t="str">
        <f>VLOOKUP(2,AA32:AK35,2,FALSE)</f>
        <v>Costa Rica</v>
      </c>
      <c r="K34" s="27">
        <f>L34+M34+N34</f>
        <v>3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1</v>
      </c>
      <c r="O34" s="27" t="str">
        <f>VLOOKUP(2,AA32:AK35,6,FALSE) &amp; " - " &amp; VLOOKUP(2,AA32:AK35,7,FALSE)</f>
        <v>4 - 5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2</v>
      </c>
      <c r="AB34" s="59" t="str">
        <f>VLOOKUP("Costa Rica",T,lang,FALSE)</f>
        <v>Costa Rica</v>
      </c>
      <c r="AC34" s="58">
        <f>COUNTIF($S$7:$T$54,"=" &amp; AB34 &amp; "_win")</f>
        <v>1</v>
      </c>
      <c r="AD34" s="58">
        <f>COUNTIF($S$7:$T$54,"=" &amp; AB34 &amp; "_draw")</f>
        <v>1</v>
      </c>
      <c r="AE34" s="58">
        <f>COUNTIF($S$7:$T$54,"=" &amp; AB34 &amp; "_lose")</f>
        <v>1</v>
      </c>
      <c r="AF34" s="58">
        <f>SUMIF($E$7:$E$54,$AB34,$F$7:$F$54) + SUMIF($H$7:$H$54,$AB34,$G$7:$G$54)</f>
        <v>4</v>
      </c>
      <c r="AG34" s="58">
        <f>SUMIF($E$7:$E$54,$AB34,$G$7:$G$54) + SUMIF($H$7:$H$54,$AB34,$F$7:$F$54)</f>
        <v>5</v>
      </c>
      <c r="AH34" s="58">
        <f>(AF34-AG34)*100+AK34*10000+AF34</f>
        <v>39904</v>
      </c>
      <c r="AI34" s="58">
        <f>AF34-AG34</f>
        <v>-1</v>
      </c>
      <c r="AJ34" s="58">
        <f>(AI34-AI37)/AI36</f>
        <v>0.14285714285714285</v>
      </c>
      <c r="AK34" s="58">
        <f>AC34*3+AD34</f>
        <v>4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690.95280595238091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Germany</v>
      </c>
      <c r="BA34" s="29">
        <v>3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3</v>
      </c>
      <c r="G35" s="24">
        <v>2</v>
      </c>
      <c r="H35" s="67" t="str">
        <f>AB46</f>
        <v>Tunisia</v>
      </c>
      <c r="J35" s="72" t="str">
        <f>VLOOKUP(3,AA32:AK35,2,FALSE)</f>
        <v>Switzerland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3 - 5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2</v>
      </c>
      <c r="AE35" s="58">
        <f>COUNTIF($S$7:$T$54,"=" &amp; AB35 &amp; "_lose")</f>
        <v>1</v>
      </c>
      <c r="AF35" s="58">
        <f>SUMIF($E$7:$E$54,$AB35,$F$7:$F$54) + SUMIF($H$7:$H$54,$AB35,$G$7:$G$54)</f>
        <v>3</v>
      </c>
      <c r="AG35" s="58">
        <f>SUMIF($E$7:$E$54,$AB35,$G$7:$G$54) + SUMIF($H$7:$H$54,$AB35,$F$7:$F$54)</f>
        <v>4</v>
      </c>
      <c r="AH35" s="58">
        <f>(AF35-AG35)*100+AK35*10000+AF35</f>
        <v>19903</v>
      </c>
      <c r="AI35" s="58">
        <f>AF35-AG35</f>
        <v>-1</v>
      </c>
      <c r="AJ35" s="58">
        <f>(AI35-AI37)/AI36</f>
        <v>0.14285714285714285</v>
      </c>
      <c r="AK35" s="58">
        <f>AC35*3+AD35</f>
        <v>2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355.1194256190476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Costa Rica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Argentina</v>
      </c>
      <c r="BS35" s="29">
        <v>1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3</v>
      </c>
      <c r="G36" s="24">
        <v>1</v>
      </c>
      <c r="H36" s="67" t="str">
        <f>AB45</f>
        <v>Panama</v>
      </c>
      <c r="J36" s="74" t="str">
        <f>VLOOKUP(4,AA32:AK35,2,FALSE)</f>
        <v>Serbia</v>
      </c>
      <c r="K36" s="75">
        <f>L36+M36+N36</f>
        <v>3</v>
      </c>
      <c r="L36" s="75">
        <f>VLOOKUP(4,AA32:AK35,3,FALSE)</f>
        <v>0</v>
      </c>
      <c r="M36" s="75">
        <f>VLOOKUP(4,AA32:AK35,4,FALSE)</f>
        <v>2</v>
      </c>
      <c r="N36" s="75">
        <f>VLOOKUP(4,AA32:AK35,5,FALSE)</f>
        <v>1</v>
      </c>
      <c r="O36" s="75" t="str">
        <f>VLOOKUP(4,AA32:AK35,6,FALSE) &amp; " - " &amp; VLOOKUP(4,AA32:AK35,7,FALSE)</f>
        <v>3 - 4</v>
      </c>
      <c r="P36" s="76">
        <f>L36*3+M36</f>
        <v>2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4</v>
      </c>
      <c r="AH36" s="58">
        <f>MAX(AH32:AH35)-AH37+1</f>
        <v>50504</v>
      </c>
      <c r="AI36" s="58">
        <f>MAX(AI32:AI35)-AI37+1</f>
        <v>7</v>
      </c>
      <c r="AK36" s="58">
        <f t="shared" si="14"/>
        <v>6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Germany</v>
      </c>
      <c r="BG36" s="29">
        <v>3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Portugal</v>
      </c>
      <c r="BS36" s="32">
        <v>2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2</v>
      </c>
      <c r="G37" s="24">
        <v>1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Poland_win</v>
      </c>
      <c r="T37" s="65" t="str">
        <f t="shared" si="3"/>
        <v>Colombia_lose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1</v>
      </c>
      <c r="AH37" s="58">
        <f>MIN(AH32:AH35)</f>
        <v>19903</v>
      </c>
      <c r="AI37" s="58">
        <f>MIN(AI32:AI35)</f>
        <v>-2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1</v>
      </c>
      <c r="G38" s="24">
        <v>0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3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7</v>
      </c>
      <c r="AG38" s="58">
        <f>SUMIF($E$7:$E$54,$AB38,$G$7:$G$54) + SUMIF($H$7:$H$54,$AB38,$F$7:$F$54)</f>
        <v>4</v>
      </c>
      <c r="AH38" s="58">
        <f>(AF38-AG38)*100+AK38*10000+AF38</f>
        <v>90307</v>
      </c>
      <c r="AI38" s="58">
        <f>AF38-AG38</f>
        <v>3</v>
      </c>
      <c r="AJ38" s="58">
        <f>(AI38-AI43)/AI42</f>
        <v>0.88888888888888884</v>
      </c>
      <c r="AK38" s="58">
        <f>AC38*3+AD38</f>
        <v>9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998.88968988888894</v>
      </c>
      <c r="AO38" s="60" t="str">
        <f>IF(SUM(AC38:AE41)=12,J39,INDEX(T,80,lang))</f>
        <v>Germany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Poland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1</v>
      </c>
      <c r="H39" s="67" t="str">
        <f>AB8</f>
        <v>Russia</v>
      </c>
      <c r="J39" s="69" t="str">
        <f>VLOOKUP(1,AA38:AK41,2,FALSE)</f>
        <v>Germany</v>
      </c>
      <c r="K39" s="70">
        <f>L39+M39+N39</f>
        <v>3</v>
      </c>
      <c r="L39" s="70">
        <f>VLOOKUP(1,AA38:AK41,3,FALSE)</f>
        <v>3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7 - 4</v>
      </c>
      <c r="P39" s="71">
        <f>L39*3+M39</f>
        <v>9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8</v>
      </c>
      <c r="AG39" s="58">
        <f>SUMIF($E$7:$E$54,$AB39,$G$7:$G$54) + SUMIF($H$7:$H$54,$AB39,$F$7:$F$54)</f>
        <v>6</v>
      </c>
      <c r="AH39" s="58">
        <f>(AF39-AG39)*100+AK39*10000+AF39</f>
        <v>60208</v>
      </c>
      <c r="AI39" s="58">
        <f>AF39-AG39</f>
        <v>2</v>
      </c>
      <c r="AJ39" s="58">
        <f>(AI39-AI43)/AI42</f>
        <v>0.77777777777777779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689.20686520634922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2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1</v>
      </c>
      <c r="G40" s="24">
        <v>3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8 - 6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Arabia_lose</v>
      </c>
      <c r="T40" s="65" t="str">
        <f t="shared" si="3"/>
        <v>Egypt_win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-1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2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5</v>
      </c>
      <c r="AH40" s="58">
        <f>(AF40-AG40)*100+AK40*10000+AF40</f>
        <v>30005</v>
      </c>
      <c r="AI40" s="58">
        <f>AF40-AG40</f>
        <v>0</v>
      </c>
      <c r="AJ40" s="58">
        <f>(AI40-AI43)/AI42</f>
        <v>0.55555555555555558</v>
      </c>
      <c r="AK40" s="58">
        <f>AC40*3+AD40</f>
        <v>3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362.6989116984127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0</v>
      </c>
      <c r="G41" s="24">
        <v>3</v>
      </c>
      <c r="H41" s="67" t="str">
        <f>AB14</f>
        <v>Portugal</v>
      </c>
      <c r="J41" s="72" t="str">
        <f>VLOOKUP(3,AA38:AK41,2,FALSE)</f>
        <v>Sweden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5 - 5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3</v>
      </c>
      <c r="AF41" s="58">
        <f>SUMIF($E$7:$E$54,$AB41,$F$7:$F$54) + SUMIF($H$7:$H$54,$AB41,$G$7:$G$54)</f>
        <v>2</v>
      </c>
      <c r="AG41" s="58">
        <f>SUMIF($E$7:$E$54,$AB41,$G$7:$G$54) + SUMIF($H$7:$H$54,$AB41,$F$7:$F$54)</f>
        <v>7</v>
      </c>
      <c r="AH41" s="58">
        <f>(AF41-AG41)*100+AK41*10000+AF41</f>
        <v>-498</v>
      </c>
      <c r="AI41" s="58">
        <f>AF41-AG41</f>
        <v>-5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2.8574278571428571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Brazil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0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3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3</v>
      </c>
      <c r="O42" s="75" t="str">
        <f>VLOOKUP(4,AA38:AK41,6,FALSE) &amp; " - " &amp; VLOOKUP(4,AA38:AK41,7,FALSE)</f>
        <v>2 - 7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4</v>
      </c>
      <c r="AD42" s="58">
        <f t="shared" si="15"/>
        <v>1</v>
      </c>
      <c r="AE42" s="58">
        <f t="shared" si="15"/>
        <v>4</v>
      </c>
      <c r="AF42" s="58">
        <f t="shared" si="15"/>
        <v>7</v>
      </c>
      <c r="AG42" s="58">
        <f t="shared" si="15"/>
        <v>4</v>
      </c>
      <c r="AH42" s="58">
        <f>MAX(AH38:AH41)-AH43+1</f>
        <v>90806</v>
      </c>
      <c r="AI42" s="58">
        <f>MAX(AI38:AI41)-AI43+1</f>
        <v>9</v>
      </c>
      <c r="AK42" s="58">
        <f t="shared" si="15"/>
        <v>10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2</v>
      </c>
      <c r="G43" s="24">
        <v>1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Denmark_win</v>
      </c>
      <c r="T43" s="65" t="str">
        <f t="shared" si="3"/>
        <v>France_lose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1</v>
      </c>
      <c r="AH43" s="58">
        <f>MIN(AH38:AH41)</f>
        <v>-498</v>
      </c>
      <c r="AI43" s="58">
        <f>MIN(AI38:AI41)</f>
        <v>-5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1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1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4</v>
      </c>
      <c r="AH44" s="58">
        <f>(AF44-AG44)*100+AK44*10000+AF44</f>
        <v>70408</v>
      </c>
      <c r="AI44" s="58">
        <f>AF44-AG44</f>
        <v>4</v>
      </c>
      <c r="AJ44" s="58">
        <f>(AI44-AI49)/AI48</f>
        <v>0.90909090909090906</v>
      </c>
      <c r="AK44" s="58">
        <f>AC44*3+AD44</f>
        <v>7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977.3383248376623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2</v>
      </c>
      <c r="M45" s="70">
        <f>VLOOKUP(1,AA44:AK47,4,FALSE)</f>
        <v>1</v>
      </c>
      <c r="N45" s="70">
        <f>VLOOKUP(1,AA44:AK47,5,FALSE)</f>
        <v>0</v>
      </c>
      <c r="O45" s="70" t="str">
        <f>VLOOKUP(1,AA44:AK47,6,FALSE) &amp; " - " &amp; VLOOKUP(1,AA44:AK47,7,FALSE)</f>
        <v>8 - 4</v>
      </c>
      <c r="P45" s="71">
        <f>L45*3+M45</f>
        <v>7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8</v>
      </c>
      <c r="AH45" s="58">
        <f>(AF45-AG45)*100+AK45*10000+AF45</f>
        <v>-598</v>
      </c>
      <c r="AI45" s="58">
        <f>AF45-AG45</f>
        <v>-6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2.8574533571428571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2</v>
      </c>
      <c r="G46" s="24">
        <v>1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1</v>
      </c>
      <c r="N46" s="27">
        <f>VLOOKUP(2,AA44:AK47,5,FALSE)</f>
        <v>0</v>
      </c>
      <c r="O46" s="27" t="str">
        <f>VLOOKUP(2,AA44:AK47,6,FALSE) &amp; " - " &amp; VLOOKUP(2,AA44:AK47,7,FALSE)</f>
        <v>7 - 4</v>
      </c>
      <c r="P46" s="73">
        <f>L46*3+M46</f>
        <v>7</v>
      </c>
      <c r="R46" s="58">
        <f>DATE(2018,6,26)+TIME(7,0,0)+gmt_delta</f>
        <v>43277.75</v>
      </c>
      <c r="S46" s="65" t="str">
        <f t="shared" si="2"/>
        <v>Iceland_win</v>
      </c>
      <c r="T46" s="65" t="str">
        <f t="shared" si="3"/>
        <v>Croatia_lose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6</v>
      </c>
      <c r="AH46" s="58">
        <f>(AF46-AG46)*100+AK46*10000+AF46</f>
        <v>29905</v>
      </c>
      <c r="AI46" s="58">
        <f>AF46-AG46</f>
        <v>-1</v>
      </c>
      <c r="AJ46" s="58">
        <f>(AI46-AI49)/AI48</f>
        <v>0.45454545454545453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427.59782159740263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1</v>
      </c>
      <c r="G47" s="24">
        <v>1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5 - 6</v>
      </c>
      <c r="P47" s="73">
        <f>L47*3+M47</f>
        <v>3</v>
      </c>
      <c r="R47" s="58">
        <f>DATE(2018,6,27)+TIME(7,0,0)+gmt_delta</f>
        <v>43278.75</v>
      </c>
      <c r="S47" s="65" t="str">
        <f t="shared" si="2"/>
        <v>Serbia_draw</v>
      </c>
      <c r="T47" s="65" t="str">
        <f t="shared" si="3"/>
        <v>Brazil_draw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0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1</v>
      </c>
      <c r="AE47" s="58">
        <f>COUNTIF($S$7:$T$54,"=" &amp; AB47 &amp; "_lose")</f>
        <v>0</v>
      </c>
      <c r="AF47" s="58">
        <f>SUMIF($E$7:$E$54,$AB47,$F$7:$F$54) + SUMIF($H$7:$H$54,$AB47,$G$7:$G$54)</f>
        <v>7</v>
      </c>
      <c r="AG47" s="58">
        <f>SUMIF($E$7:$E$54,$AB47,$G$7:$G$54) + SUMIF($H$7:$H$54,$AB47,$F$7:$F$54)</f>
        <v>4</v>
      </c>
      <c r="AH47" s="58">
        <f>(AF47-AG47)*100+AK47*10000+AF47</f>
        <v>70307</v>
      </c>
      <c r="AI47" s="58">
        <f>AF47-AG47</f>
        <v>3</v>
      </c>
      <c r="AJ47" s="58">
        <f>(AI47-AI49)/AI48</f>
        <v>0.81818181818181823</v>
      </c>
      <c r="AK47" s="58">
        <f>AC47*3+AD47</f>
        <v>7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966.81870531818186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1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2 - 8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>Switzerland_lose</v>
      </c>
      <c r="T48" s="65" t="str">
        <f t="shared" si="3"/>
        <v>Costa Rica_win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-1</v>
      </c>
      <c r="AC48" s="58">
        <f t="shared" ref="AC48:AL48" si="16">MAX(AC44:AC47)-MIN(AC44:AC47)+1</f>
        <v>3</v>
      </c>
      <c r="AD48" s="58">
        <f t="shared" si="16"/>
        <v>2</v>
      </c>
      <c r="AE48" s="58">
        <f t="shared" si="16"/>
        <v>4</v>
      </c>
      <c r="AF48" s="58">
        <f t="shared" si="16"/>
        <v>7</v>
      </c>
      <c r="AG48" s="58">
        <f t="shared" si="16"/>
        <v>5</v>
      </c>
      <c r="AH48" s="58">
        <f>MAX(AH44:AH47)-AH49+1</f>
        <v>71007</v>
      </c>
      <c r="AI48" s="58">
        <f>MAX(AI44:AI47)-AI49+1</f>
        <v>11</v>
      </c>
      <c r="AK48" s="58">
        <f t="shared" si="16"/>
        <v>8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1</v>
      </c>
      <c r="G49" s="24">
        <v>2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-598</v>
      </c>
      <c r="AI49" s="58">
        <f>MIN(AI44:AI47)</f>
        <v>-6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3</v>
      </c>
      <c r="G50" s="24">
        <v>2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Mexico_win</v>
      </c>
      <c r="T50" s="65" t="str">
        <f t="shared" si="3"/>
        <v>Sweden_lose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1</v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3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7</v>
      </c>
      <c r="AG50" s="58">
        <f>SUMIF($E$7:$E$54,$AB50,$G$7:$G$54) + SUMIF($H$7:$H$54,$AB50,$F$7:$F$54)</f>
        <v>3</v>
      </c>
      <c r="AH50" s="58">
        <f>(AF50-AG50)*100+AK50*10000+AF50</f>
        <v>90407</v>
      </c>
      <c r="AI50" s="58">
        <f>AF50-AG50</f>
        <v>4</v>
      </c>
      <c r="AJ50" s="58">
        <f>(AI50-AI55)/AI54</f>
        <v>0.88888888888888884</v>
      </c>
      <c r="AK50" s="58">
        <f>AC50*3+AD50</f>
        <v>9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1000.5561600555556</v>
      </c>
      <c r="AO50" s="60" t="str">
        <f>IF(SUM(AC50:AE53)=12,J51,INDEX(T,84,lang))</f>
        <v>Poland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2</v>
      </c>
      <c r="G51" s="24">
        <v>2</v>
      </c>
      <c r="H51" s="67" t="str">
        <f>AB44</f>
        <v>Belgium</v>
      </c>
      <c r="J51" s="69" t="str">
        <f>VLOOKUP(1,AA50:AK53,2,FALSE)</f>
        <v>Poland</v>
      </c>
      <c r="K51" s="70">
        <f>L51+M51+N51</f>
        <v>3</v>
      </c>
      <c r="L51" s="70">
        <f>VLOOKUP(1,AA50:AK53,3,FALSE)</f>
        <v>3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7 - 3</v>
      </c>
      <c r="P51" s="71">
        <f>L51*3+M51</f>
        <v>9</v>
      </c>
      <c r="R51" s="58">
        <f>DATE(2018,6,28)+TIME(7,0,0)+gmt_delta</f>
        <v>43279.75</v>
      </c>
      <c r="S51" s="65" t="str">
        <f t="shared" si="2"/>
        <v>England_draw</v>
      </c>
      <c r="T51" s="65" t="str">
        <f t="shared" si="3"/>
        <v>Belgium_draw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0</v>
      </c>
      <c r="AA51" s="58">
        <f>COUNTIF(AN50:AN53,CONCATENATE("&gt;=",AN51))</f>
        <v>4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3</v>
      </c>
      <c r="AF51" s="58">
        <f>SUMIF($E$7:$E$54,$AB51,$F$7:$F$54) + SUMIF($H$7:$H$54,$AB51,$G$7:$G$54)</f>
        <v>2</v>
      </c>
      <c r="AG51" s="58">
        <f>SUMIF($E$7:$E$54,$AB51,$G$7:$G$54) + SUMIF($H$7:$H$54,$AB51,$F$7:$F$54)</f>
        <v>6</v>
      </c>
      <c r="AH51" s="58">
        <f>(AF51-AG51)*100+AK51*10000+AF51</f>
        <v>-398</v>
      </c>
      <c r="AI51" s="58">
        <f>AF51-AG51</f>
        <v>-4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3.3337753333333335</v>
      </c>
      <c r="AO51" s="60" t="str">
        <f>IF(SUM(AC50:AE53)=12,J52,INDEX(T,85,lang))</f>
        <v>Colombia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Colombia</v>
      </c>
      <c r="K52" s="27">
        <f>L52+M52+N52</f>
        <v>3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1</v>
      </c>
      <c r="O52" s="27" t="str">
        <f>VLOOKUP(2,AA50:AK53,6,FALSE) &amp; " - " &amp; VLOOKUP(2,AA50:AK53,7,FALSE)</f>
        <v>4 - 4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1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4</v>
      </c>
      <c r="AH52" s="58">
        <f>(AF52-AG52)*100+AK52*10000+AF52</f>
        <v>40004</v>
      </c>
      <c r="AI52" s="58">
        <f>AF52-AG52</f>
        <v>0</v>
      </c>
      <c r="AJ52" s="58">
        <f>(AI52-AI55)/AI54</f>
        <v>0.44444444444444442</v>
      </c>
      <c r="AK52" s="58">
        <f>AC52*3+AD52</f>
        <v>4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451.11165011111115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1</v>
      </c>
      <c r="G53" s="24">
        <v>2</v>
      </c>
      <c r="H53" s="67" t="str">
        <f>AB50</f>
        <v>Poland</v>
      </c>
      <c r="J53" s="72" t="str">
        <f>VLOOKUP(3,AA50:AK53,2,FALSE)</f>
        <v>Japan</v>
      </c>
      <c r="K53" s="27">
        <f>L53+M53+N53</f>
        <v>3</v>
      </c>
      <c r="L53" s="27">
        <f>VLOOKUP(3,AA50:AK53,3,FALSE)</f>
        <v>1</v>
      </c>
      <c r="M53" s="27">
        <f>VLOOKUP(3,AA50:AK53,4,FALSE)</f>
        <v>1</v>
      </c>
      <c r="N53" s="27">
        <f>VLOOKUP(3,AA50:AK53,5,FALSE)</f>
        <v>1</v>
      </c>
      <c r="O53" s="27" t="str">
        <f>VLOOKUP(3,AA50:AK53,6,FALSE) &amp; " - " &amp; VLOOKUP(3,AA50:AK53,7,FALSE)</f>
        <v>3 - 3</v>
      </c>
      <c r="P53" s="73">
        <f>L53*3+M53</f>
        <v>4</v>
      </c>
      <c r="R53" s="58">
        <f>DATE(2018,6,28)+TIME(3,0,0)+gmt_delta</f>
        <v>43279.583333333336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3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1</v>
      </c>
      <c r="AF53" s="58">
        <f>SUMIF($E$7:$E$54,$AB53,$F$7:$F$54) + SUMIF($H$7:$H$54,$AB53,$G$7:$G$54)</f>
        <v>3</v>
      </c>
      <c r="AG53" s="58">
        <f>SUMIF($E$7:$E$54,$AB53,$G$7:$G$54) + SUMIF($H$7:$H$54,$AB53,$F$7:$F$54)</f>
        <v>3</v>
      </c>
      <c r="AH53" s="58">
        <f>(AF53-AG53)*100+AK53*10000+AF53</f>
        <v>40003</v>
      </c>
      <c r="AI53" s="58">
        <f>AF53-AG53</f>
        <v>0</v>
      </c>
      <c r="AJ53" s="58">
        <f>(AI53-AI55)/AI54</f>
        <v>0.44444444444444442</v>
      </c>
      <c r="AK53" s="58">
        <f>AC53*3+AD53</f>
        <v>4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449.44474444444444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1</v>
      </c>
      <c r="G54" s="33">
        <v>2</v>
      </c>
      <c r="H54" s="68" t="str">
        <f>AB52</f>
        <v>Colombia</v>
      </c>
      <c r="J54" s="74" t="str">
        <f>VLOOKUP(4,AA50:AK53,2,FALSE)</f>
        <v>Senegal</v>
      </c>
      <c r="K54" s="75">
        <f>L54+M54+N54</f>
        <v>3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3</v>
      </c>
      <c r="O54" s="75" t="str">
        <f>VLOOKUP(4,AA50:AK53,6,FALSE) &amp; " - " &amp; VLOOKUP(4,AA50:AK53,7,FALSE)</f>
        <v>2 - 6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4</v>
      </c>
      <c r="AD54" s="58">
        <f t="shared" si="17"/>
        <v>2</v>
      </c>
      <c r="AE54" s="58">
        <f t="shared" si="17"/>
        <v>4</v>
      </c>
      <c r="AF54" s="58">
        <f t="shared" si="17"/>
        <v>6</v>
      </c>
      <c r="AG54" s="58">
        <f t="shared" si="17"/>
        <v>4</v>
      </c>
      <c r="AH54" s="58">
        <f>MAX(AH50:AH53)-AH55+1</f>
        <v>90806</v>
      </c>
      <c r="AI54" s="58">
        <f>MAX(AI50:AI53)-AI55+1</f>
        <v>9</v>
      </c>
      <c r="AK54" s="58">
        <f t="shared" si="17"/>
        <v>10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-398</v>
      </c>
      <c r="AI55" s="58">
        <f>MIN(AI50:AI53)</f>
        <v>-4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>Spain</v>
      </c>
      <c r="T58" s="65" t="str">
        <f>IF(OR(S58="",S58="draw"),INDEX(T,86,lang),S58)</f>
        <v>Spain</v>
      </c>
    </row>
    <row r="59" spans="1:54" ht="12.75" customHeight="1" x14ac:dyDescent="0.2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>Argentina</v>
      </c>
      <c r="T59" s="65" t="str">
        <f>IF(OR(S59="",S59="draw"),INDEX(T,87,lang),S59)</f>
        <v>Argentina</v>
      </c>
    </row>
    <row r="60" spans="1:54" ht="12.75" customHeight="1" x14ac:dyDescent="0.2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>France</v>
      </c>
      <c r="T61" s="65" t="str">
        <f>IF(OR(S61="",S61="draw"),INDEX(T,89,lang),S61)</f>
        <v>France</v>
      </c>
    </row>
    <row r="62" spans="1:54" ht="12.75" customHeight="1" x14ac:dyDescent="0.2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>Germany</v>
      </c>
      <c r="T64" s="65" t="str">
        <f>IF(OR(S64="",S64="draw"),INDEX(T,92,lang),S64)</f>
        <v>Germany</v>
      </c>
    </row>
    <row r="65" spans="18:26" ht="12.75" customHeight="1" x14ac:dyDescent="0.2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>Argentina</v>
      </c>
      <c r="T69" s="65" t="str">
        <f>IF(OR(S69="",S69="draw"),INDEX(T,94,lang),S69)</f>
        <v>Argentina</v>
      </c>
    </row>
    <row r="70" spans="18:26" ht="12.75" customHeight="1" x14ac:dyDescent="0.2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>Portugal</v>
      </c>
      <c r="T71" s="65" t="str">
        <f>IF(OR(S71="",S71="draw"),INDEX(T,96,lang),S71)</f>
        <v>Portugal</v>
      </c>
    </row>
    <row r="72" spans="18:26" ht="12.75" customHeight="1" x14ac:dyDescent="0.2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>Germany</v>
      </c>
      <c r="T72" s="65" t="str">
        <f>IF(OR(S72="",S72="draw"),INDEX(T,97,lang),S72)</f>
        <v>Germany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>Brazil</v>
      </c>
      <c r="T76" s="65" t="str">
        <f>IF(OR(S76="",S76="draw"),INDEX(T,98,lang),S76)</f>
        <v>Brazil</v>
      </c>
      <c r="U76" s="65" t="str">
        <f>IF(OR(BM16="",BM17=""),"",IF(BM16&lt;BM17,BL16,IF(BM16&gt;BM17,BL17,IF(OR(BN16="",BN17=""),"draw",IF(BN16&lt;BN17,BL16,IF(BN16&gt;BN17,BL17,"draw"))))))</f>
        <v>Argentina</v>
      </c>
      <c r="Z76" s="65" t="str">
        <f>IF(OR(U76="",U76="draw"),INDEX(T,100,lang),U76)</f>
        <v>Argentina</v>
      </c>
    </row>
    <row r="77" spans="18:26" ht="12.75" customHeight="1" x14ac:dyDescent="0.2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>Germany</v>
      </c>
      <c r="T77" s="65" t="str">
        <f>IF(OR(S77="",S77="draw"),INDEX(T,99,lang),S77)</f>
        <v>Germany</v>
      </c>
      <c r="U77" s="65" t="str">
        <f>IF(OR(BM32="",BM33=""),"",IF(BM32&lt;BM33,BL32,IF(BM32&gt;BM33,BL33,IF(OR(BN32="",BN33=""),"draw",IF(BN32&lt;BN33,BL32,IF(BN32&gt;BN33,BL33,"draw"))))))</f>
        <v>Portugal</v>
      </c>
      <c r="Z77" s="65" t="str">
        <f>IF(OR(U77="",U77="draw"),INDEX(T,101,lang),U77)</f>
        <v>Portugal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>Portugal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>Brazil</v>
      </c>
      <c r="T85" s="65" t="str">
        <f>S85</f>
        <v>Brazil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Settings</vt:lpstr>
      <vt:lpstr>2018 World Cup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Timothy Smith</cp:lastModifiedBy>
  <cp:lastPrinted>2018-01-03T15:36:04Z</cp:lastPrinted>
  <dcterms:created xsi:type="dcterms:W3CDTF">2017-12-27T19:32:51Z</dcterms:created>
  <dcterms:modified xsi:type="dcterms:W3CDTF">2018-06-15T02:31:57Z</dcterms:modified>
</cp:coreProperties>
</file>