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springer/Downloads/"/>
    </mc:Choice>
  </mc:AlternateContent>
  <xr:revisionPtr revIDLastSave="0" documentId="13_ncr:1_{51164238-7F0B-2B46-BA7C-D101259D27DD}" xr6:coauthVersionLast="33" xr6:coauthVersionMax="33" xr10:uidLastSave="{00000000-0000-0000-0000-000000000000}"/>
  <bookViews>
    <workbookView xWindow="1940" yWindow="700" windowWidth="26560" windowHeight="15680" activeTab="2" xr2:uid="{06679F38-40B3-4A34-860F-690D3A58D83C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6" i="3"/>
  <c r="S76" i="3"/>
  <c r="S70" i="3"/>
  <c r="G48" i="2"/>
  <c r="G16" i="2"/>
  <c r="G15" i="2"/>
  <c r="AB21" i="3" s="1"/>
  <c r="L20" i="3" l="1"/>
  <c r="AY9" i="3"/>
  <c r="BE27" i="3"/>
  <c r="BE35" i="3"/>
  <c r="R28" i="3"/>
  <c r="R69" i="3"/>
  <c r="BE11" i="3" s="1"/>
  <c r="R58" i="3"/>
  <c r="R77" i="3"/>
  <c r="BK31" i="3" s="1"/>
  <c r="R70" i="3"/>
  <c r="BE19" i="3" s="1"/>
  <c r="R85" i="3"/>
  <c r="BQ22" i="3" s="1"/>
  <c r="R65" i="3"/>
  <c r="AY37" i="3" s="1"/>
  <c r="R63" i="3"/>
  <c r="AY21" i="3" s="1"/>
  <c r="R81" i="3"/>
  <c r="BQ34" i="3" s="1"/>
  <c r="R64" i="3"/>
  <c r="AY33" i="3" s="1"/>
  <c r="R60" i="3"/>
  <c r="AY25" i="3" s="1"/>
  <c r="R76" i="3"/>
  <c r="BK15" i="3" s="1"/>
  <c r="R62" i="3"/>
  <c r="AY17" i="3" s="1"/>
  <c r="R61" i="3"/>
  <c r="AY29" i="3" s="1"/>
  <c r="R59" i="3"/>
  <c r="AY13" i="3" s="1"/>
  <c r="R51" i="3"/>
  <c r="B51" i="3" s="1"/>
  <c r="R43" i="3"/>
  <c r="R35" i="3"/>
  <c r="R42" i="3"/>
  <c r="R34" i="3"/>
  <c r="R33" i="3"/>
  <c r="B33" i="3" s="1"/>
  <c r="R48" i="3"/>
  <c r="B48" i="3" s="1"/>
  <c r="R40" i="3"/>
  <c r="C40" i="3" s="1"/>
  <c r="R50" i="3"/>
  <c r="C50" i="3" s="1"/>
  <c r="R44" i="3"/>
  <c r="R49" i="3"/>
  <c r="R41" i="3"/>
  <c r="B41" i="3" s="1"/>
  <c r="R32" i="3"/>
  <c r="R47" i="3"/>
  <c r="C47" i="3" s="1"/>
  <c r="R39" i="3"/>
  <c r="D39" i="3" s="1"/>
  <c r="R31" i="3"/>
  <c r="R36" i="3"/>
  <c r="D36" i="3" s="1"/>
  <c r="R54" i="3"/>
  <c r="R46" i="3"/>
  <c r="R38" i="3"/>
  <c r="B38" i="3" s="1"/>
  <c r="R30" i="3"/>
  <c r="R53" i="3"/>
  <c r="R45" i="3"/>
  <c r="R37" i="3"/>
  <c r="B37" i="3" s="1"/>
  <c r="R29" i="3"/>
  <c r="D29" i="3" s="1"/>
  <c r="R52" i="3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C42" i="3"/>
  <c r="C52" i="3"/>
  <c r="C44" i="3"/>
  <c r="B30" i="3"/>
  <c r="C41" i="3"/>
  <c r="D34" i="3"/>
  <c r="C35" i="3"/>
  <c r="D28" i="3"/>
  <c r="B34" i="3"/>
  <c r="D35" i="3"/>
  <c r="C32" i="3"/>
  <c r="BO41" i="3"/>
  <c r="C36" i="3"/>
  <c r="D49" i="3"/>
  <c r="C49" i="3"/>
  <c r="B49" i="3"/>
  <c r="C34" i="3"/>
  <c r="B46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D8" i="3" l="1"/>
  <c r="B29" i="3"/>
  <c r="D51" i="3"/>
  <c r="B36" i="3"/>
  <c r="D25" i="3"/>
  <c r="C8" i="3"/>
  <c r="B25" i="3"/>
  <c r="H54" i="3"/>
  <c r="D38" i="3"/>
  <c r="AM38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 l="1"/>
  <c r="T22" i="3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S58" i="3" s="1"/>
  <c r="T58" i="3" s="1"/>
  <c r="BF12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S63" i="3" s="1"/>
  <c r="T63" i="3" s="1"/>
  <c r="BF21" i="3" s="1"/>
  <c r="M18" i="3"/>
  <c r="N18" i="3"/>
  <c r="L46" i="3"/>
  <c r="J15" i="3"/>
  <c r="AO14" i="3" s="1"/>
  <c r="AZ26" i="3" s="1"/>
  <c r="S60" i="3" s="1"/>
  <c r="T60" i="3" s="1"/>
  <c r="BF28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S61" i="3" s="1"/>
  <c r="T61" i="3" s="1"/>
  <c r="BF29" i="3" s="1"/>
  <c r="S71" i="3" s="1"/>
  <c r="T71" i="3" s="1"/>
  <c r="BL32" i="3" s="1"/>
  <c r="U77" i="3" s="1"/>
  <c r="Z77" i="3" s="1"/>
  <c r="BR36" i="3" s="1"/>
  <c r="J21" i="3"/>
  <c r="AO20" i="3" s="1"/>
  <c r="AZ14" i="3" s="1"/>
  <c r="S59" i="3" s="1"/>
  <c r="T59" i="3" s="1"/>
  <c r="BF13" i="3" s="1"/>
  <c r="S69" i="3" s="1"/>
  <c r="T69" i="3" s="1"/>
  <c r="BL16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S62" i="3" s="1"/>
  <c r="T62" i="3" s="1"/>
  <c r="BF20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S72" i="3" s="1"/>
  <c r="T72" i="3" s="1"/>
  <c r="BL33" i="3" s="1"/>
  <c r="S77" i="3" s="1"/>
  <c r="T77" i="3" s="1"/>
  <c r="BR24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<sst xmlns="http://schemas.openxmlformats.org/spreadsheetml/2006/main" count="4552" uniqueCount="2581">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</sst>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1E7F-AE8F-44BD-B850-8391483B98A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2527-19E5-4875-93D2-CFC0AC718D02}">
  <dimension ref="B1:I49"/>
  <sheetViews>
    <sheetView showGridLines="0" workbookViewId="0">
      <selection activeCell="C4" sqref="C4"/>
    </sheetView>
  </sheetViews>
  <sheetFormatPr baseColWidth="10" defaultColWidth="9.16406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9.1640625" style="11"/>
    <col min="5" max="5" width="1.1640625" style="11" customWidth="1"/>
    <col min="6" max="6" width="9.1640625" style="11"/>
    <col min="7" max="7" width="27.5" style="11" bestFit="1" customWidth="1"/>
    <col min="8" max="8" width="2.6640625" style="11" customWidth="1"/>
    <col min="9" max="9" width="1.1640625" style="11" customWidth="1"/>
    <col min="10" max="16384" width="9.16406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1151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DBAD2C3-6A5E-43E5-9FC6-9E3CAE1C968A}">
      <formula1>lang_list</formula1>
    </dataValidation>
    <dataValidation type="list" allowBlank="1" showInputMessage="1" showErrorMessage="1" promptTitle="Select Summer Time" prompt="Use drop-down List" sqref="C6" xr:uid="{28AC6A07-581B-484E-B93A-3F6462423AE7}">
      <formula1>"Yes,No"</formula1>
    </dataValidation>
    <dataValidation type="list" allowBlank="1" showInputMessage="1" showErrorMessage="1" promptTitle="Select GTM-time" prompt="Use drop-down List" sqref="C8" xr:uid="{EC83C832-B212-425C-9943-F17313271E59}">
      <formula1>$F$18:$F$41</formula1>
    </dataValidation>
    <dataValidation type="list" allowBlank="1" showInputMessage="1" showErrorMessage="1" promptTitle="Select Minutes" prompt="Use drop-down List" sqref="C10" xr:uid="{C6794E40-584C-4822-8504-C53404E82E2B}">
      <formula1>$F$43:$F$46</formula1>
    </dataValidation>
    <dataValidation type="list" allowBlank="1" showInputMessage="1" showErrorMessage="1" promptTitle="Select Your Favorite Team" prompt="Use drop-down List" sqref="C12" xr:uid="{5F5DA096-193C-403D-9698-1DEED542F9BD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AAD0-B7F9-4EC8-A89D-FA373AF4B5F2}">
  <sheetPr>
    <pageSetUpPr fitToPage="1"/>
  </sheetPr>
  <dimension ref="A1:BT97"/>
  <sheetViews>
    <sheetView showGridLines="0" tabSelected="1" zoomScaleNormal="100" workbookViewId="0">
      <selection activeCell="BU30" sqref="BU30"/>
    </sheetView>
  </sheetViews>
  <sheetFormatPr baseColWidth="10" defaultColWidth="9.16406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9.1640625" style="3"/>
  </cols>
  <sheetData>
    <row r="1" spans="1:72" ht="47" x14ac:dyDescent="0.2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2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3</v>
      </c>
      <c r="AB8" s="59" t="str">
        <f>VLOOKUP("Russia",T,lang,FALSE)</f>
        <v>Russia</v>
      </c>
      <c r="AC8" s="58">
        <f>COUNTIF($S$7:$T$54,"=" &amp; AB8 &amp; "_win")</f>
        <v>1</v>
      </c>
      <c r="AD8" s="58">
        <f>COUNTIF($S$7:$T$54,"=" &amp; AB8 &amp; "_draw")</f>
        <v>0</v>
      </c>
      <c r="AE8" s="58">
        <f>COUNTIF($S$7:$T$54,"=" &amp; AB8 &amp; "_lose")</f>
        <v>2</v>
      </c>
      <c r="AF8" s="58">
        <f>SUMIF($E$7:$E$54,$AB8,$F$7:$F$54) + SUMIF($H$7:$H$54,$AB8,$G$7:$G$54)</f>
        <v>6</v>
      </c>
      <c r="AG8" s="58">
        <f>SUMIF($E$7:$E$54,$AB8,$G$7:$G$54) + SUMIF($H$7:$H$54,$AB8,$F$7:$F$54)</f>
        <v>5</v>
      </c>
      <c r="AH8" s="58">
        <f>(AF8-AG8)+1</f>
        <v>2</v>
      </c>
      <c r="AI8" s="58">
        <f>AF8-AG8</f>
        <v>1</v>
      </c>
      <c r="AJ8" s="58">
        <f>(AI8-AI13)/AI12</f>
        <v>0.61111111111111116</v>
      </c>
      <c r="AK8" s="58">
        <f>AC8*3+AD8</f>
        <v>3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369.68280668253965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9 - 2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1</v>
      </c>
      <c r="V9" s="58">
        <f t="shared" si="5"/>
        <v>3</v>
      </c>
      <c r="W9" s="58">
        <f t="shared" si="6"/>
        <v>3</v>
      </c>
      <c r="X9" s="58">
        <f t="shared" si="7"/>
        <v>0</v>
      </c>
      <c r="Y9" s="58">
        <f t="shared" si="9"/>
        <v>0</v>
      </c>
      <c r="AA9" s="58">
        <f>COUNTIF(AN8:AN11,CONCATENATE("&gt;=",AN9))</f>
        <v>4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3</v>
      </c>
      <c r="AF9" s="58">
        <f>SUMIF($E$7:$E$54,$AB9,$F$7:$F$54) + SUMIF($H$7:$H$54,$AB9,$G$7:$G$54)</f>
        <v>3</v>
      </c>
      <c r="AG9" s="58">
        <f>SUMIF($E$7:$E$54,$AB9,$G$7:$G$54) + SUMIF($H$7:$H$54,$AB9,$F$7:$F$54)</f>
        <v>13</v>
      </c>
      <c r="AH9" s="58">
        <f>(AF9-AG9)+1</f>
        <v>-9</v>
      </c>
      <c r="AI9" s="58">
        <f>AF9-AG9</f>
        <v>-10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4.2859857857142858</v>
      </c>
      <c r="AO9" s="60" t="str">
        <f>IF(SUM(AC8:AE11)=12,J10,INDEX(T,71,lang))</f>
        <v>Egypt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1</v>
      </c>
      <c r="G10" s="24">
        <v>0</v>
      </c>
      <c r="H10" s="67" t="str">
        <f>AB17</f>
        <v>Iran</v>
      </c>
      <c r="J10" s="72" t="str">
        <f>VLOOKUP(2,AA8:AK11,2,FALSE)</f>
        <v>Egypt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5 - 3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Morocco_win</v>
      </c>
      <c r="T10" s="65" t="str">
        <f t="shared" si="3"/>
        <v>Iran_lose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1</v>
      </c>
      <c r="AA10" s="58">
        <f>COUNTIF(AN8:AN11,CONCATENATE("&gt;=",AN10))</f>
        <v>2</v>
      </c>
      <c r="AB10" s="59" t="str">
        <f>VLOOKUP("Egypt",T,lang,FALSE)</f>
        <v>Egypt</v>
      </c>
      <c r="AC10" s="58">
        <f>COUNTIF($S$7:$T$54,"=" &amp; AB10 &amp; "_win")</f>
        <v>2</v>
      </c>
      <c r="AD10" s="58">
        <f>COUNTIF($S$7:$T$54,"=" &amp; AB10 &amp; "_draw")</f>
        <v>0</v>
      </c>
      <c r="AE10" s="58">
        <f>COUNTIF($S$7:$T$54,"=" &amp; AB10 &amp; "_lose")</f>
        <v>1</v>
      </c>
      <c r="AF10" s="58">
        <f>SUMIF($E$7:$E$54,$AB10,$F$7:$F$54) + SUMIF($H$7:$H$54,$AB10,$G$7:$G$54)</f>
        <v>5</v>
      </c>
      <c r="AG10" s="58">
        <f>SUMIF($E$7:$E$54,$AB10,$G$7:$G$54) + SUMIF($H$7:$H$54,$AB10,$F$7:$F$54)</f>
        <v>3</v>
      </c>
      <c r="AH10" s="58">
        <f>(AF10-AG10)+1</f>
        <v>3</v>
      </c>
      <c r="AI10" s="58">
        <f>AF10-AG10</f>
        <v>2</v>
      </c>
      <c r="AJ10" s="58">
        <f>(AI10-AI13)/AI12</f>
        <v>0.66666666666666663</v>
      </c>
      <c r="AK10" s="58">
        <f>AC10*3+AD10</f>
        <v>6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673.80992630952369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>
        <v>1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Russia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6 - 5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9</v>
      </c>
      <c r="AG11" s="58">
        <f>SUMIF($E$7:$E$54,$AB11,$G$7:$G$54) + SUMIF($H$7:$H$54,$AB11,$F$7:$F$54)</f>
        <v>2</v>
      </c>
      <c r="AH11" s="58">
        <f>(AF11-AG11)+1</f>
        <v>8</v>
      </c>
      <c r="AI11" s="58">
        <f>AF11-AG11</f>
        <v>7</v>
      </c>
      <c r="AJ11" s="58">
        <f>(AI11-AI13)/AI12</f>
        <v>0.94444444444444442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1007.3020493015873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Spain</v>
      </c>
      <c r="BA11" s="32">
        <v>2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Saudi Arabia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3 - 13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12</v>
      </c>
      <c r="AH12" s="58">
        <f>MAX(AH8:AH11)-AH13+1</f>
        <v>18</v>
      </c>
      <c r="AI12" s="58">
        <f>MAX(AI8:AI11)-AI13+1</f>
        <v>18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Spain</v>
      </c>
      <c r="BG12" s="29">
        <v>1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-9</v>
      </c>
      <c r="AI13" s="58">
        <f>MIN(AI8:AI11)</f>
        <v>-10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Denmark</v>
      </c>
      <c r="BG13" s="32">
        <v>2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2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11</v>
      </c>
      <c r="AG14" s="58">
        <f>SUMIF($E$7:$E$54,$AB14,$G$7:$G$54) + SUMIF($H$7:$H$54,$AB14,$F$7:$F$54)</f>
        <v>4</v>
      </c>
      <c r="AH14" s="58">
        <f>(AF14-AG14)*100+AK14*10000+AF14</f>
        <v>70711</v>
      </c>
      <c r="AI14" s="58">
        <f>AF14-AG14</f>
        <v>7</v>
      </c>
      <c r="AJ14" s="58">
        <f>(AI14-AI19)/AI18</f>
        <v>0.94444444444444442</v>
      </c>
      <c r="AK14" s="58">
        <f>AC14*3+AD14</f>
        <v>7</v>
      </c>
      <c r="AL14" s="58">
        <f>AP14/AP18*1000+AQ14/AQ18*100+AT14/AT18*10+AR14/AR18</f>
        <v>50.75</v>
      </c>
      <c r="AM14" s="58">
        <f>VLOOKUP(AB14,db_fifarank,2,FALSE)/2000000</f>
        <v>6.7900000000000002E-4</v>
      </c>
      <c r="AN14" s="59">
        <f>1000*AK14/AK18+100*AJ14+10*AF14/AF18+1*AL14/AL18+AM14</f>
        <v>979.59246643961353</v>
      </c>
      <c r="AO14" s="60" t="str">
        <f>IF(SUM(AC14:AE17)=12,J15,INDEX(T,72,lang))</f>
        <v>Portugal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1</v>
      </c>
      <c r="AR14" s="62">
        <f>SUMPRODUCT(($E$7:$E$54=AB14)*($U$7:$U$54)*($F$7:$F$54))+SUMPRODUCT(($H$7:$H$54=AB14)*($U$7:$U$54)*($G$7:$G$54))</f>
        <v>3</v>
      </c>
      <c r="AS14" s="62">
        <f>SUMPRODUCT(($E$7:$E$54=AB14)*($U$7:$U$54)*($G$7:$G$54))+SUMPRODUCT(($H$7:$H$54=AB14)*($U$7:$U$54)*($F$7:$F$54))</f>
        <v>3</v>
      </c>
      <c r="AT14" s="62">
        <f>AR14-AS14</f>
        <v>0</v>
      </c>
      <c r="AY14" s="129">
        <v>50</v>
      </c>
      <c r="AZ14" s="28" t="str">
        <f>AO20</f>
        <v>Denmark</v>
      </c>
      <c r="BA14" s="29">
        <v>1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3</v>
      </c>
      <c r="L15" s="70">
        <f>VLOOKUP(1,AA14:AK17,3,FALSE)</f>
        <v>2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11 - 4</v>
      </c>
      <c r="P15" s="71">
        <f>L15*3+M15</f>
        <v>7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2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11</v>
      </c>
      <c r="AG15" s="58">
        <f>SUMIF($E$7:$E$54,$AB15,$G$7:$G$54) + SUMIF($H$7:$H$54,$AB15,$F$7:$F$54)</f>
        <v>4</v>
      </c>
      <c r="AH15" s="58">
        <f>(AF15-AG15)*100+AK15*10000+AF15</f>
        <v>70711</v>
      </c>
      <c r="AI15" s="58">
        <f>AF15-AG15</f>
        <v>7</v>
      </c>
      <c r="AJ15" s="58">
        <f>(AI15-AI19)/AI18</f>
        <v>0.94444444444444442</v>
      </c>
      <c r="AK15" s="58">
        <f>AC15*3+AD15</f>
        <v>7</v>
      </c>
      <c r="AL15" s="58">
        <f>AP15/AP18*1000+AQ15/AQ18*100+AT15/AT18*10+AR15/AR18</f>
        <v>50.75</v>
      </c>
      <c r="AM15" s="58">
        <f>VLOOKUP(AB15,db_fifarank,2,FALSE)/2000000</f>
        <v>6.1550000000000005E-4</v>
      </c>
      <c r="AN15" s="59">
        <f>1000*AK15/AK18+100*AJ15+10*AF15/AF18+1*AL15/AL18+AM15</f>
        <v>979.59240293961352</v>
      </c>
      <c r="AO15" s="60" t="str">
        <f>IF(SUM(AC14:AE17)=12,J16,INDEX(T,73,lang))</f>
        <v>Spain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1</v>
      </c>
      <c r="AR15" s="62">
        <f>SUMPRODUCT(($E$7:$E$54=AB15)*($U$7:$U$54)*($F$7:$F$54))+SUMPRODUCT(($H$7:$H$54=AB15)*($U$7:$U$54)*($G$7:$G$54))</f>
        <v>3</v>
      </c>
      <c r="AS15" s="62">
        <f>SUMPRODUCT(($E$7:$E$54=AB15)*($U$7:$U$54)*($G$7:$G$54))+SUMPRODUCT(($H$7:$H$54=AB15)*($U$7:$U$54)*($F$7:$F$54))</f>
        <v>3</v>
      </c>
      <c r="AT15" s="62">
        <f>AR15-AS15</f>
        <v>0</v>
      </c>
      <c r="AY15" s="130"/>
      <c r="AZ15" s="31" t="str">
        <f>AO27</f>
        <v>Croatia</v>
      </c>
      <c r="BA15" s="32">
        <v>0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3</v>
      </c>
      <c r="L16" s="27">
        <f>VLOOKUP(2,AA14:AK17,3,FALSE)</f>
        <v>2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11 - 4</v>
      </c>
      <c r="P16" s="73">
        <f>L16*3+M16</f>
        <v>7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3</v>
      </c>
      <c r="AB16" s="59" t="str">
        <f>VLOOKUP("Morocco",T,lang,FALSE)</f>
        <v>Morocco</v>
      </c>
      <c r="AC16" s="58">
        <f>COUNTIF($S$7:$T$54,"=" &amp; AB16 &amp; "_win")</f>
        <v>1</v>
      </c>
      <c r="AD16" s="58">
        <f>COUNTIF($S$7:$T$54,"=" &amp; AB16 &amp; "_draw")</f>
        <v>0</v>
      </c>
      <c r="AE16" s="58">
        <f>COUNTIF($S$7:$T$54,"=" &amp; AB16 &amp; "_lose")</f>
        <v>2</v>
      </c>
      <c r="AF16" s="58">
        <f>SUMIF($E$7:$E$54,$AB16,$F$7:$F$54) + SUMIF($H$7:$H$54,$AB16,$G$7:$G$54)</f>
        <v>3</v>
      </c>
      <c r="AG16" s="58">
        <f>SUMIF($E$7:$E$54,$AB16,$G$7:$G$54) + SUMIF($H$7:$H$54,$AB16,$F$7:$F$54)</f>
        <v>7</v>
      </c>
      <c r="AH16" s="58">
        <f>(AF16-AG16)*100+AK16*10000+AF16</f>
        <v>29603</v>
      </c>
      <c r="AI16" s="58">
        <f>AF16-AG16</f>
        <v>-4</v>
      </c>
      <c r="AJ16" s="58">
        <f>(AI16-AI19)/AI18</f>
        <v>0.33333333333333331</v>
      </c>
      <c r="AK16" s="58">
        <f>AC16*3+AD16</f>
        <v>3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410.83370233333329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Denmark</v>
      </c>
      <c r="BM16" s="29">
        <v>1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Morocco</v>
      </c>
      <c r="K17" s="27">
        <f>L17+M17+N17</f>
        <v>3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2</v>
      </c>
      <c r="O17" s="27" t="str">
        <f>VLOOKUP(3,AA14:AK17,6,FALSE) &amp; " - " &amp; VLOOKUP(3,AA14:AK17,7,FALSE)</f>
        <v>3 - 7</v>
      </c>
      <c r="P17" s="73">
        <f>L17*3+M17</f>
        <v>3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4</v>
      </c>
      <c r="AB17" s="59" t="str">
        <f>VLOOKUP("Iran",T,lang,FALSE)</f>
        <v>Iran</v>
      </c>
      <c r="AC17" s="58">
        <f>COUNTIF($S$7:$T$54,"=" &amp; AB17 &amp; "_win")</f>
        <v>0</v>
      </c>
      <c r="AD17" s="58">
        <f>COUNTIF($S$7:$T$54,"=" &amp; AB17 &amp; "_draw")</f>
        <v>0</v>
      </c>
      <c r="AE17" s="58">
        <f>COUNTIF($S$7:$T$54,"=" &amp; AB17 &amp; "_lose")</f>
        <v>3</v>
      </c>
      <c r="AF17" s="58">
        <f>SUMIF($E$7:$E$54,$AB17,$F$7:$F$54) + SUMIF($H$7:$H$54,$AB17,$G$7:$G$54)</f>
        <v>0</v>
      </c>
      <c r="AG17" s="58">
        <f>SUMIF($E$7:$E$54,$AB17,$G$7:$G$54) + SUMIF($H$7:$H$54,$AB17,$F$7:$F$54)</f>
        <v>10</v>
      </c>
      <c r="AH17" s="58">
        <f>(AF17-AG17)*100+AK17*10000+AF17</f>
        <v>-1000</v>
      </c>
      <c r="AI17" s="58">
        <f>AF17-AG17</f>
        <v>-10</v>
      </c>
      <c r="AJ17" s="58">
        <f>(AI17-AI19)/AI18</f>
        <v>0</v>
      </c>
      <c r="AK17" s="58">
        <f>AC17*3+AD17</f>
        <v>0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3.9899999999999999E-4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Belgium</v>
      </c>
      <c r="BM17" s="32">
        <v>2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3</v>
      </c>
      <c r="G18" s="24">
        <v>3</v>
      </c>
      <c r="H18" s="67" t="str">
        <f>AB41</f>
        <v>Korea Republic</v>
      </c>
      <c r="J18" s="74" t="str">
        <f>VLOOKUP(4,AA14:AK17,2,FALSE)</f>
        <v>Iran</v>
      </c>
      <c r="K18" s="75">
        <f>L18+M18+N18</f>
        <v>3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3</v>
      </c>
      <c r="O18" s="75" t="str">
        <f>VLOOKUP(4,AA14:AK17,6,FALSE) &amp; " - " &amp; VLOOKUP(4,AA14:AK17,7,FALSE)</f>
        <v>0 - 10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>Sweden_draw</v>
      </c>
      <c r="T18" s="65" t="str">
        <f t="shared" si="3"/>
        <v>Korea Republic_draw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0</v>
      </c>
      <c r="AC18" s="58">
        <f t="shared" ref="AC18:AL18" si="11">MAX(AC14:AC17)-MIN(AC14:AC17)+1</f>
        <v>3</v>
      </c>
      <c r="AD18" s="58">
        <f t="shared" si="11"/>
        <v>2</v>
      </c>
      <c r="AE18" s="58">
        <f t="shared" si="11"/>
        <v>4</v>
      </c>
      <c r="AF18" s="58">
        <f t="shared" si="11"/>
        <v>12</v>
      </c>
      <c r="AG18" s="58">
        <f t="shared" si="11"/>
        <v>7</v>
      </c>
      <c r="AH18" s="58">
        <f>MAX(AH14:AH17)-AH19+1</f>
        <v>71712</v>
      </c>
      <c r="AI18" s="58">
        <f>MAX(AI14:AI17)-AI19+1</f>
        <v>18</v>
      </c>
      <c r="AK18" s="58">
        <f t="shared" si="11"/>
        <v>8</v>
      </c>
      <c r="AL18" s="58">
        <f t="shared" si="11"/>
        <v>51.75</v>
      </c>
      <c r="AP18" s="58">
        <f>MAX(AP14:AP17)-MIN(AP14:AP17)+1</f>
        <v>1</v>
      </c>
      <c r="AQ18" s="58">
        <f>MAX(AQ14:AQ17)-MIN(AQ14:AQ17)+1</f>
        <v>2</v>
      </c>
      <c r="AR18" s="58">
        <f>MAX(AR14:AR17)-MIN(AR14:AR17)+1</f>
        <v>4</v>
      </c>
      <c r="AS18" s="58">
        <f>MAX(AS14:AS17)-MIN(AS14:AS17)+1</f>
        <v>4</v>
      </c>
      <c r="AT18" s="58">
        <f>MAX(AT14:AT17)-MIN(AT14:AT17)+1</f>
        <v>1</v>
      </c>
      <c r="AY18" s="129">
        <v>53</v>
      </c>
      <c r="AZ18" s="28" t="str">
        <f>AO32</f>
        <v>Switzerland</v>
      </c>
      <c r="BA18" s="29">
        <v>1</v>
      </c>
      <c r="BB18" s="30">
        <v>3</v>
      </c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1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-1000</v>
      </c>
      <c r="AI19" s="58">
        <f>MIN(AI14:AI17)</f>
        <v>-10</v>
      </c>
      <c r="AY19" s="130"/>
      <c r="AZ19" s="31" t="str">
        <f>AO39</f>
        <v>Germany</v>
      </c>
      <c r="BA19" s="32">
        <v>1</v>
      </c>
      <c r="BB19" s="33">
        <v>2</v>
      </c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0</v>
      </c>
      <c r="G20" s="24">
        <v>3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3</v>
      </c>
      <c r="AB20" s="59" t="str">
        <f>VLOOKUP("France",T,lang,FALSE)</f>
        <v>France</v>
      </c>
      <c r="AC20" s="58">
        <f>COUNTIF($S$7:$T$54,"=" &amp; AB20 &amp; "_win")</f>
        <v>1</v>
      </c>
      <c r="AD20" s="58">
        <f>COUNTIF($S$7:$T$54,"=" &amp; AB20 &amp; "_draw")</f>
        <v>1</v>
      </c>
      <c r="AE20" s="58">
        <f>COUNTIF($S$7:$T$54,"=" &amp; AB20 &amp; "_lose")</f>
        <v>1</v>
      </c>
      <c r="AF20" s="58">
        <f>SUMIF($E$7:$E$54,$AB20,$F$7:$F$54) + SUMIF($H$7:$H$54,$AB20,$G$7:$G$54)</f>
        <v>2</v>
      </c>
      <c r="AG20" s="58">
        <f>SUMIF($E$7:$E$54,$AB20,$G$7:$G$54) + SUMIF($H$7:$H$54,$AB20,$F$7:$F$54)</f>
        <v>2</v>
      </c>
      <c r="AH20" s="58">
        <f>(AF20-AG20)*100+AK20*10000+AF20</f>
        <v>40002</v>
      </c>
      <c r="AI20" s="58">
        <f>AF20-AG20</f>
        <v>0</v>
      </c>
      <c r="AJ20" s="58">
        <f>(AI20-AI25)/AI24</f>
        <v>0.55555555555555558</v>
      </c>
      <c r="AK20" s="58">
        <f>AC20*3+AD20</f>
        <v>4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562.22281372222221</v>
      </c>
      <c r="AO20" s="60" t="str">
        <f>IF(SUM(AC20:AE23)=12,J21,INDEX(T,74,lang))</f>
        <v>Denmark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Switzerland</v>
      </c>
      <c r="BG20" s="29">
        <v>0</v>
      </c>
      <c r="BH20" s="30">
        <v>2</v>
      </c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2</v>
      </c>
      <c r="G21" s="24">
        <v>2</v>
      </c>
      <c r="H21" s="67" t="str">
        <f>AB51</f>
        <v>Senegal</v>
      </c>
      <c r="J21" s="69" t="str">
        <f>VLOOKUP(1,AA20:AK23,2,FALSE)</f>
        <v>Denmark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43270.625</v>
      </c>
      <c r="S21" s="65" t="str">
        <f t="shared" si="2"/>
        <v>Poland_draw</v>
      </c>
      <c r="T21" s="65" t="str">
        <f t="shared" si="3"/>
        <v>Senegal_draw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0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0</v>
      </c>
      <c r="AE21" s="58">
        <f>COUNTIF($S$7:$T$54,"=" &amp; AB21 &amp; "_lose")</f>
        <v>3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7</v>
      </c>
      <c r="AH21" s="58">
        <f>(AF21-AG21)*100+AK21*10000+AF21</f>
        <v>-498</v>
      </c>
      <c r="AI21" s="58">
        <f>AF21-AG21</f>
        <v>-5</v>
      </c>
      <c r="AJ21" s="58">
        <f>(AI21-AI25)/AI24</f>
        <v>0</v>
      </c>
      <c r="AK21" s="58">
        <f>AC21*3+AD21</f>
        <v>0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6.6670401666666672</v>
      </c>
      <c r="AO21" s="60" t="str">
        <f>IF(SUM(AC20:AE23)=12,J22,INDEX(T,75,lang))</f>
        <v>Peru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0</v>
      </c>
      <c r="BH21" s="33">
        <v>3</v>
      </c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4</v>
      </c>
      <c r="G22" s="24">
        <v>1</v>
      </c>
      <c r="H22" s="67" t="str">
        <f>AB53</f>
        <v>Japan</v>
      </c>
      <c r="J22" s="72" t="str">
        <f>VLOOKUP(2,AA20:AK23,2,FALSE)</f>
        <v>Peru</v>
      </c>
      <c r="K22" s="27">
        <f>L22+M22+N22</f>
        <v>3</v>
      </c>
      <c r="L22" s="27">
        <f>VLOOKUP(2,AA20:AK23,3,FALSE)</f>
        <v>2</v>
      </c>
      <c r="M22" s="27">
        <f>VLOOKUP(2,AA20:AK23,4,FALSE)</f>
        <v>0</v>
      </c>
      <c r="N22" s="27">
        <f>VLOOKUP(2,AA20:AK23,5,FALSE)</f>
        <v>1</v>
      </c>
      <c r="O22" s="27" t="str">
        <f>VLOOKUP(2,AA20:AK23,6,FALSE) &amp; " - " &amp; VLOOKUP(2,AA20:AK23,7,FALSE)</f>
        <v>4 - 1</v>
      </c>
      <c r="P22" s="73">
        <f>L22*3+M22</f>
        <v>6</v>
      </c>
      <c r="R22" s="58">
        <f>DATE(2018,6,19)+TIME(1,0,0)+gmt_delta</f>
        <v>43270.5</v>
      </c>
      <c r="S22" s="65" t="str">
        <f t="shared" si="2"/>
        <v>Colombia_win</v>
      </c>
      <c r="T22" s="65" t="str">
        <f t="shared" si="3"/>
        <v>Japan_lose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1</v>
      </c>
      <c r="AA22" s="58">
        <f>COUNTIF(AN20:AN23,CONCATENATE("&gt;=",AN22))</f>
        <v>2</v>
      </c>
      <c r="AB22" s="59" t="str">
        <f>VLOOKUP("Peru",T,lang,FALSE)</f>
        <v>Peru</v>
      </c>
      <c r="AC22" s="58">
        <f>COUNTIF($S$7:$T$54,"=" &amp; AB22 &amp; "_win")</f>
        <v>2</v>
      </c>
      <c r="AD22" s="58">
        <f>COUNTIF($S$7:$T$54,"=" &amp; AB22 &amp; "_draw")</f>
        <v>0</v>
      </c>
      <c r="AE22" s="58">
        <f>COUNTIF($S$7:$T$54,"=" &amp; AB22 &amp; "_lose")</f>
        <v>1</v>
      </c>
      <c r="AF22" s="58">
        <f>SUMIF($E$7:$E$54,$AB22,$F$7:$F$54) + SUMIF($H$7:$H$54,$AB22,$G$7:$G$54)</f>
        <v>4</v>
      </c>
      <c r="AG22" s="58">
        <f>SUMIF($E$7:$E$54,$AB22,$G$7:$G$54) + SUMIF($H$7:$H$54,$AB22,$F$7:$F$54)</f>
        <v>1</v>
      </c>
      <c r="AH22" s="58">
        <f>(AF22-AG22)*100+AK22*10000+AF22</f>
        <v>60304</v>
      </c>
      <c r="AI22" s="58">
        <f>AF22-AG22</f>
        <v>3</v>
      </c>
      <c r="AJ22" s="58">
        <f>(AI22-AI25)/AI24</f>
        <v>0.88888888888888884</v>
      </c>
      <c r="AK22" s="58">
        <f>AC22*3+AD22</f>
        <v>6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852.22278622222234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0</v>
      </c>
      <c r="G23" s="24">
        <v>2</v>
      </c>
      <c r="H23" s="67" t="str">
        <f>AB10</f>
        <v>Egypt</v>
      </c>
      <c r="J23" s="72" t="str">
        <f>VLOOKUP(3,AA20:AK23,2,FALSE)</f>
        <v>France</v>
      </c>
      <c r="K23" s="27">
        <f>L23+M23+N23</f>
        <v>3</v>
      </c>
      <c r="L23" s="27">
        <f>VLOOKUP(3,AA20:AK23,3,FALSE)</f>
        <v>1</v>
      </c>
      <c r="M23" s="27">
        <f>VLOOKUP(3,AA20:AK23,4,FALSE)</f>
        <v>1</v>
      </c>
      <c r="N23" s="27">
        <f>VLOOKUP(3,AA20:AK23,5,FALSE)</f>
        <v>1</v>
      </c>
      <c r="O23" s="27" t="str">
        <f>VLOOKUP(3,AA20:AK23,6,FALSE) &amp; " - " &amp; VLOOKUP(3,AA20:AK23,7,FALSE)</f>
        <v>2 - 2</v>
      </c>
      <c r="P23" s="73">
        <f>L23*3+M23</f>
        <v>4</v>
      </c>
      <c r="R23" s="58">
        <f>DATE(2018,6,19)+TIME(7,0,0)+gmt_delta</f>
        <v>43270.75</v>
      </c>
      <c r="S23" s="65" t="str">
        <f t="shared" si="2"/>
        <v>Russia_lose</v>
      </c>
      <c r="T23" s="65" t="str">
        <f t="shared" si="3"/>
        <v>Egypt_win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-1</v>
      </c>
      <c r="AA23" s="58">
        <f>COUNTIF(AN20:AN23,CONCATENATE("&gt;=",AN23))</f>
        <v>1</v>
      </c>
      <c r="AB23" s="59" t="str">
        <f>VLOOKUP("Denmark",T,lang,FALSE)</f>
        <v>Denmark</v>
      </c>
      <c r="AC23" s="58">
        <f>COUNTIF($S$7:$T$54,"=" &amp; AB23 &amp; "_win")</f>
        <v>2</v>
      </c>
      <c r="AD23" s="58">
        <f>COUNTIF($S$7:$T$54,"=" &amp; AB23 &amp; "_draw")</f>
        <v>1</v>
      </c>
      <c r="AE23" s="58">
        <f>COUNTIF($S$7:$T$54,"=" &amp; AB23 &amp; "_lose")</f>
        <v>0</v>
      </c>
      <c r="AF23" s="58">
        <f>SUMIF($E$7:$E$54,$AB23,$F$7:$F$54) + SUMIF($H$7:$H$54,$AB23,$G$7:$G$54)</f>
        <v>3</v>
      </c>
      <c r="AG23" s="58">
        <f>SUMIF($E$7:$E$54,$AB23,$G$7:$G$54) + SUMIF($H$7:$H$54,$AB23,$F$7:$F$54)</f>
        <v>1</v>
      </c>
      <c r="AH23" s="58">
        <f>(AF23-AG23)*100+AK23*10000+AF23</f>
        <v>70203</v>
      </c>
      <c r="AI23" s="58">
        <f>AF23-AG23</f>
        <v>2</v>
      </c>
      <c r="AJ23" s="58">
        <f>(AI23-AI25)/AI24</f>
        <v>0.77777777777777779</v>
      </c>
      <c r="AK23" s="58">
        <f>AC23*3+AD23</f>
        <v>7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962.77832727777786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Poland</v>
      </c>
      <c r="BA23" s="32">
        <v>0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Belgium</v>
      </c>
      <c r="BS23" s="29">
        <v>3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5</v>
      </c>
      <c r="G24" s="24">
        <v>1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3</v>
      </c>
      <c r="O24" s="75" t="str">
        <f>VLOOKUP(4,AA20:AK23,6,FALSE) &amp; " - " &amp; VLOOKUP(4,AA20:AK23,7,FALSE)</f>
        <v>2 - 7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2</v>
      </c>
      <c r="AE24" s="58">
        <f t="shared" si="12"/>
        <v>4</v>
      </c>
      <c r="AF24" s="58">
        <f t="shared" si="12"/>
        <v>3</v>
      </c>
      <c r="AG24" s="58">
        <f t="shared" si="12"/>
        <v>7</v>
      </c>
      <c r="AH24" s="58">
        <f>MAX(AH20:AH23)-AH25+1</f>
        <v>70702</v>
      </c>
      <c r="AI24" s="58">
        <f>MAX(AI20:AI23)-AI25+1</f>
        <v>9</v>
      </c>
      <c r="AK24" s="58">
        <f t="shared" si="12"/>
        <v>8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Mexico</v>
      </c>
      <c r="BS24" s="32">
        <v>1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3</v>
      </c>
      <c r="G25" s="24">
        <v>1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-498</v>
      </c>
      <c r="AI25" s="58">
        <f>MIN(AI20:AI23)</f>
        <v>-5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4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2</v>
      </c>
      <c r="AE26" s="58">
        <f>COUNTIF($S$7:$T$54,"=" &amp; AB26 &amp; "_lose")</f>
        <v>0</v>
      </c>
      <c r="AF26" s="58">
        <f>SUMIF($E$7:$E$54,$AB26,$F$7:$F$54) + SUMIF($H$7:$H$54,$AB26,$G$7:$G$54)</f>
        <v>6</v>
      </c>
      <c r="AG26" s="58">
        <f>SUMIF($E$7:$E$54,$AB26,$G$7:$G$54) + SUMIF($H$7:$H$54,$AB26,$F$7:$F$54)</f>
        <v>5</v>
      </c>
      <c r="AH26" s="58">
        <f>(AF26-AG26)*100+AK26*10000+AF26</f>
        <v>50106</v>
      </c>
      <c r="AI26" s="58">
        <f>AF26-AG26</f>
        <v>1</v>
      </c>
      <c r="AJ26" s="58">
        <f>(AI26-AI31)/AI30</f>
        <v>0.75</v>
      </c>
      <c r="AK26" s="58">
        <f>AC26*3+AD26</f>
        <v>5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1331.6673406666666</v>
      </c>
      <c r="AO26" s="60" t="str">
        <f>IF(SUM(AC26:AE29)=12,J27,INDEX(T,76,lang))</f>
        <v>Argentina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Portugal</v>
      </c>
      <c r="BA26" s="29">
        <v>3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0</v>
      </c>
      <c r="G27" s="24">
        <v>1</v>
      </c>
      <c r="H27" s="67" t="str">
        <f>AB22</f>
        <v>Peru</v>
      </c>
      <c r="J27" s="69" t="str">
        <f>VLOOKUP(1,AA26:AK29,2,FALSE)</f>
        <v>Argentina</v>
      </c>
      <c r="K27" s="70">
        <f>L27+M27+N27</f>
        <v>3</v>
      </c>
      <c r="L27" s="70">
        <f>VLOOKUP(1,AA26:AK29,3,FALSE)</f>
        <v>1</v>
      </c>
      <c r="M27" s="70">
        <f>VLOOKUP(1,AA26:AK29,4,FALSE)</f>
        <v>2</v>
      </c>
      <c r="N27" s="70">
        <f>VLOOKUP(1,AA26:AK29,5,FALSE)</f>
        <v>0</v>
      </c>
      <c r="O27" s="70" t="str">
        <f>VLOOKUP(1,AA26:AK29,6,FALSE) &amp; " - " &amp; VLOOKUP(1,AA26:AK29,7,FALSE)</f>
        <v>6 - 5</v>
      </c>
      <c r="P27" s="71">
        <f>L27*3+M27</f>
        <v>5</v>
      </c>
      <c r="R27" s="58">
        <f>DATE(2018,6,21)+TIME(4,0,0)+gmt_delta</f>
        <v>43272.625</v>
      </c>
      <c r="S27" s="65" t="str">
        <f t="shared" si="2"/>
        <v>France_lose</v>
      </c>
      <c r="T27" s="65" t="str">
        <f t="shared" si="3"/>
        <v>Peru_win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-1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3</v>
      </c>
      <c r="AE27" s="58">
        <f>COUNTIF($S$7:$T$54,"=" &amp; AB27 &amp; "_lose")</f>
        <v>0</v>
      </c>
      <c r="AF27" s="58">
        <f>SUMIF($E$7:$E$54,$AB27,$F$7:$F$54) + SUMIF($H$7:$H$54,$AB27,$G$7:$G$54)</f>
        <v>7</v>
      </c>
      <c r="AG27" s="58">
        <f>SUMIF($E$7:$E$54,$AB27,$G$7:$G$54) + SUMIF($H$7:$H$54,$AB27,$F$7:$F$54)</f>
        <v>7</v>
      </c>
      <c r="AH27" s="58">
        <f>(AF27-AG27)*100+AK27*10000+AF27</f>
        <v>30007</v>
      </c>
      <c r="AI27" s="58">
        <f>AF27-AG27</f>
        <v>0</v>
      </c>
      <c r="AJ27" s="58">
        <f>(AI27-AI31)/AI30</f>
        <v>0.5</v>
      </c>
      <c r="AK27" s="58">
        <f>AC27*3+AD27</f>
        <v>3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807.77823277777782</v>
      </c>
      <c r="AO27" s="60" t="str">
        <f>IF(SUM(AC26:AE29)=12,J28,INDEX(T,77,lang))</f>
        <v>Croatia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Egypt</v>
      </c>
      <c r="BA27" s="32">
        <v>1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2</v>
      </c>
      <c r="G28" s="24">
        <v>1</v>
      </c>
      <c r="H28" s="67" t="str">
        <f>AB21</f>
        <v>Australia</v>
      </c>
      <c r="J28" s="72" t="str">
        <f>VLOOKUP(2,AA26:AK29,2,FALSE)</f>
        <v>Croatia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10 - 9</v>
      </c>
      <c r="P28" s="73">
        <f>L28*3+M28</f>
        <v>4</v>
      </c>
      <c r="R28" s="58">
        <f>DATE(2018,6,21)+TIME(1,0,0)+gmt_delta</f>
        <v>43272.5</v>
      </c>
      <c r="S28" s="65" t="str">
        <f t="shared" si="2"/>
        <v>Denmark_win</v>
      </c>
      <c r="T28" s="65" t="str">
        <f t="shared" si="3"/>
        <v>Australia_lose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1</v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1</v>
      </c>
      <c r="AD28" s="58">
        <f>COUNTIF($S$7:$T$54,"=" &amp; AB28 &amp; "_draw")</f>
        <v>1</v>
      </c>
      <c r="AE28" s="58">
        <f>COUNTIF($S$7:$T$54,"=" &amp; AB28 &amp; "_lose")</f>
        <v>1</v>
      </c>
      <c r="AF28" s="58">
        <f>SUMIF($E$7:$E$54,$AB28,$F$7:$F$54) + SUMIF($H$7:$H$54,$AB28,$G$7:$G$54)</f>
        <v>10</v>
      </c>
      <c r="AG28" s="58">
        <f>SUMIF($E$7:$E$54,$AB28,$G$7:$G$54) + SUMIF($H$7:$H$54,$AB28,$F$7:$F$54)</f>
        <v>9</v>
      </c>
      <c r="AH28" s="58">
        <f>(AF28-AG28)*100+AK28*10000+AF28</f>
        <v>40110</v>
      </c>
      <c r="AI28" s="58">
        <f>AF28-AG28</f>
        <v>1</v>
      </c>
      <c r="AJ28" s="58">
        <f>(AI28-AI31)/AI30</f>
        <v>0.75</v>
      </c>
      <c r="AK28" s="58">
        <f>AC28*3+AD28</f>
        <v>4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1086.1116201111111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Portugal</v>
      </c>
      <c r="BG28" s="29">
        <v>0</v>
      </c>
      <c r="BH28" s="30">
        <v>4</v>
      </c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4</v>
      </c>
      <c r="G29" s="24">
        <v>3</v>
      </c>
      <c r="H29" s="67" t="str">
        <f>AB28</f>
        <v>Croatia</v>
      </c>
      <c r="J29" s="72" t="str">
        <f>VLOOKUP(3,AA26:AK29,2,FALSE)</f>
        <v>Iceland</v>
      </c>
      <c r="K29" s="27">
        <f>L29+M29+N29</f>
        <v>3</v>
      </c>
      <c r="L29" s="27">
        <f>VLOOKUP(3,AA26:AK29,3,FALSE)</f>
        <v>0</v>
      </c>
      <c r="M29" s="27">
        <f>VLOOKUP(3,AA26:AK29,4,FALSE)</f>
        <v>3</v>
      </c>
      <c r="N29" s="27">
        <f>VLOOKUP(3,AA26:AK29,5,FALSE)</f>
        <v>0</v>
      </c>
      <c r="O29" s="27" t="str">
        <f>VLOOKUP(3,AA26:AK29,6,FALSE) &amp; " - " &amp; VLOOKUP(3,AA26:AK29,7,FALSE)</f>
        <v>7 - 7</v>
      </c>
      <c r="P29" s="73">
        <f>L29*3+M29</f>
        <v>3</v>
      </c>
      <c r="R29" s="58">
        <f>DATE(2018,6,21)+TIME(7,0,0)+gmt_delta</f>
        <v>43272.75</v>
      </c>
      <c r="S29" s="65" t="str">
        <f t="shared" si="2"/>
        <v>Argentina_win</v>
      </c>
      <c r="T29" s="65" t="str">
        <f t="shared" si="3"/>
        <v>Croatia_lose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1</v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2</v>
      </c>
      <c r="AE29" s="58">
        <f>COUNTIF($S$7:$T$54,"=" &amp; AB29 &amp; "_lose")</f>
        <v>1</v>
      </c>
      <c r="AF29" s="58">
        <f>SUMIF($E$7:$E$54,$AB29,$F$7:$F$54) + SUMIF($H$7:$H$54,$AB29,$G$7:$G$54)</f>
        <v>2</v>
      </c>
      <c r="AG29" s="58">
        <f>SUMIF($E$7:$E$54,$AB29,$G$7:$G$54) + SUMIF($H$7:$H$54,$AB29,$F$7:$F$54)</f>
        <v>4</v>
      </c>
      <c r="AH29" s="58">
        <f>(AF29-AG29)*100+AK29*10000+AF29</f>
        <v>19802</v>
      </c>
      <c r="AI29" s="58">
        <f>AF29-AG29</f>
        <v>-2</v>
      </c>
      <c r="AJ29" s="58">
        <f>(AI29-AI31)/AI30</f>
        <v>0</v>
      </c>
      <c r="AK29" s="58">
        <f>AC29*3+AD29</f>
        <v>2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502.22254222222222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Peru</v>
      </c>
      <c r="BG29" s="32">
        <v>0</v>
      </c>
      <c r="BH29" s="33">
        <v>5</v>
      </c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1</v>
      </c>
      <c r="G30" s="24">
        <v>1</v>
      </c>
      <c r="H30" s="67" t="str">
        <f>AB27</f>
        <v>Iceland</v>
      </c>
      <c r="J30" s="74" t="str">
        <f>VLOOKUP(4,AA26:AK29,2,FALSE)</f>
        <v>Nigeria</v>
      </c>
      <c r="K30" s="75">
        <f>L30+M30+N30</f>
        <v>3</v>
      </c>
      <c r="L30" s="75">
        <f>VLOOKUP(4,AA26:AK29,3,FALSE)</f>
        <v>0</v>
      </c>
      <c r="M30" s="75">
        <f>VLOOKUP(4,AA26:AK29,4,FALSE)</f>
        <v>2</v>
      </c>
      <c r="N30" s="75">
        <f>VLOOKUP(4,AA26:AK29,5,FALSE)</f>
        <v>1</v>
      </c>
      <c r="O30" s="75" t="str">
        <f>VLOOKUP(4,AA26:AK29,6,FALSE) &amp; " - " &amp; VLOOKUP(4,AA26:AK29,7,FALSE)</f>
        <v>2 - 4</v>
      </c>
      <c r="P30" s="76">
        <f>L30*3+M30</f>
        <v>2</v>
      </c>
      <c r="R30" s="58">
        <f>DATE(2018,6,22)+TIME(4,0,0)+gmt_delta</f>
        <v>43273.625</v>
      </c>
      <c r="S30" s="65" t="str">
        <f t="shared" si="2"/>
        <v>Nigeria_draw</v>
      </c>
      <c r="T30" s="65" t="str">
        <f t="shared" si="3"/>
        <v>Iceland_draw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0</v>
      </c>
      <c r="AC30" s="58">
        <f t="shared" ref="AC30:AL30" si="13">MAX(AC26:AC29)-MIN(AC26:AC29)+1</f>
        <v>2</v>
      </c>
      <c r="AD30" s="58">
        <f t="shared" si="13"/>
        <v>3</v>
      </c>
      <c r="AE30" s="58">
        <f t="shared" si="13"/>
        <v>2</v>
      </c>
      <c r="AF30" s="58">
        <f t="shared" si="13"/>
        <v>9</v>
      </c>
      <c r="AG30" s="58">
        <f t="shared" si="13"/>
        <v>6</v>
      </c>
      <c r="AH30" s="58">
        <f>MAX(AH26:AH29)-AH31+1</f>
        <v>30305</v>
      </c>
      <c r="AI30" s="58">
        <f>MAX(AI26:AI29)-AI31+1</f>
        <v>4</v>
      </c>
      <c r="AK30" s="58">
        <f t="shared" si="13"/>
        <v>4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Argentina</v>
      </c>
      <c r="BA30" s="29">
        <v>3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2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Brazil_draw</v>
      </c>
      <c r="T31" s="65" t="str">
        <f t="shared" si="3"/>
        <v>Costa Rica_draw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0</v>
      </c>
      <c r="AH31" s="58">
        <f>MIN(AH26:AH29)</f>
        <v>19802</v>
      </c>
      <c r="AI31" s="58">
        <f>MIN(AI26:AI29)</f>
        <v>-2</v>
      </c>
      <c r="AY31" s="130"/>
      <c r="AZ31" s="31" t="str">
        <f>AO21</f>
        <v>Peru</v>
      </c>
      <c r="BA31" s="32">
        <v>5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0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2</v>
      </c>
      <c r="AB32" s="59" t="str">
        <f>VLOOKUP("Brazil",T,lang,FALSE)</f>
        <v>Brazil</v>
      </c>
      <c r="AC32" s="58">
        <f>COUNTIF($S$7:$T$54,"=" &amp; AB32 &amp; "_win")</f>
        <v>1</v>
      </c>
      <c r="AD32" s="58">
        <f>COUNTIF($S$7:$T$54,"=" &amp; AB32 &amp; "_draw")</f>
        <v>2</v>
      </c>
      <c r="AE32" s="58">
        <f>COUNTIF($S$7:$T$54,"=" &amp; AB32 &amp; "_lose")</f>
        <v>0</v>
      </c>
      <c r="AF32" s="58">
        <f>SUMIF($E$7:$E$54,$AB32,$F$7:$F$54) + SUMIF($H$7:$H$54,$AB32,$G$7:$G$54)</f>
        <v>7</v>
      </c>
      <c r="AG32" s="58">
        <f>SUMIF($E$7:$E$54,$AB32,$G$7:$G$54) + SUMIF($H$7:$H$54,$AB32,$F$7:$F$54)</f>
        <v>6</v>
      </c>
      <c r="AH32" s="58">
        <f>(AF32-AG32)*100+AK32*10000+AF32</f>
        <v>50107</v>
      </c>
      <c r="AI32" s="58">
        <f>AF32-AG32</f>
        <v>1</v>
      </c>
      <c r="AJ32" s="58">
        <f>(AI32-AI37)/AI36</f>
        <v>0.5</v>
      </c>
      <c r="AK32" s="58">
        <f>AC32*3+AD32</f>
        <v>5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778.28645578571434</v>
      </c>
      <c r="AO32" s="60" t="str">
        <f>IF(SUM(AC32:AE35)=12,J33,INDEX(T,78,lang))</f>
        <v>Switzerland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Peru</v>
      </c>
      <c r="BM32" s="29">
        <v>0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3</v>
      </c>
      <c r="G33" s="24">
        <v>0</v>
      </c>
      <c r="H33" s="67" t="str">
        <f>AB40</f>
        <v>Sweden</v>
      </c>
      <c r="J33" s="69" t="str">
        <f>VLOOKUP(1,AA32:AK35,2,FALSE)</f>
        <v>Switzerland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7 - 2</v>
      </c>
      <c r="P33" s="71">
        <f>L33*3+M33</f>
        <v>7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1</v>
      </c>
      <c r="AB33" s="59" t="str">
        <f>VLOOKUP("Switzerland",T,lang,FALSE)</f>
        <v>Switzerland</v>
      </c>
      <c r="AC33" s="58">
        <f>COUNTIF($S$7:$T$54,"=" &amp; AB33 &amp; "_win")</f>
        <v>2</v>
      </c>
      <c r="AD33" s="58">
        <f>COUNTIF($S$7:$T$54,"=" &amp; AB33 &amp; "_draw")</f>
        <v>1</v>
      </c>
      <c r="AE33" s="58">
        <f>COUNTIF($S$7:$T$54,"=" &amp; AB33 &amp; "_lose")</f>
        <v>0</v>
      </c>
      <c r="AF33" s="58">
        <f>SUMIF($E$7:$E$54,$AB33,$F$7:$F$54) + SUMIF($H$7:$H$54,$AB33,$G$7:$G$54)</f>
        <v>7</v>
      </c>
      <c r="AG33" s="58">
        <f>SUMIF($E$7:$E$54,$AB33,$G$7:$G$54) + SUMIF($H$7:$H$54,$AB33,$F$7:$F$54)</f>
        <v>2</v>
      </c>
      <c r="AH33" s="58">
        <f>(AF33-AG33)*100+AK33*10000+AF33</f>
        <v>70507</v>
      </c>
      <c r="AI33" s="58">
        <f>AF33-AG33</f>
        <v>5</v>
      </c>
      <c r="AJ33" s="58">
        <f>(AI33-AI37)/AI36</f>
        <v>0.9</v>
      </c>
      <c r="AK33" s="58">
        <f>AC33*3+AD33</f>
        <v>7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1104.000595</v>
      </c>
      <c r="AO33" s="60" t="str">
        <f>IF(SUM(AC32:AE35)=12,J34,INDEX(T,79,lang))</f>
        <v>Brazil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Mexico</v>
      </c>
      <c r="BM33" s="32">
        <v>3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3</v>
      </c>
      <c r="H34" s="67" t="str">
        <f>AB39</f>
        <v>Mexico</v>
      </c>
      <c r="J34" s="72" t="str">
        <f>VLOOKUP(2,AA32:AK35,2,FALSE)</f>
        <v>Brazil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7 - 6</v>
      </c>
      <c r="P34" s="73">
        <f>L34*3+M34</f>
        <v>5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3</v>
      </c>
      <c r="AG34" s="58">
        <f>SUMIF($E$7:$E$54,$AB34,$G$7:$G$54) + SUMIF($H$7:$H$54,$AB34,$F$7:$F$54)</f>
        <v>7</v>
      </c>
      <c r="AH34" s="58">
        <f>(AF34-AG34)*100+AK34*10000+AF34</f>
        <v>9603</v>
      </c>
      <c r="AI34" s="58">
        <f>AF34-AG34</f>
        <v>-4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148.85756785714287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Mexico</v>
      </c>
      <c r="BA34" s="29">
        <v>2</v>
      </c>
      <c r="BB34" s="30">
        <v>4</v>
      </c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2</v>
      </c>
      <c r="G35" s="24">
        <v>1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4 - 6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4</v>
      </c>
      <c r="AG35" s="58">
        <f>SUMIF($E$7:$E$54,$AB35,$G$7:$G$54) + SUMIF($H$7:$H$54,$AB35,$F$7:$F$54)</f>
        <v>6</v>
      </c>
      <c r="AH35" s="58">
        <f>(AF35-AG35)*100+AK35*10000+AF35</f>
        <v>29804</v>
      </c>
      <c r="AI35" s="58">
        <f>AF35-AG35</f>
        <v>-2</v>
      </c>
      <c r="AJ35" s="58">
        <f>(AI35-AI37)/AI36</f>
        <v>0.2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456.57180657142857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Brazil</v>
      </c>
      <c r="BA35" s="32">
        <v>2</v>
      </c>
      <c r="BB35" s="33">
        <v>2</v>
      </c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Denmark</v>
      </c>
      <c r="BS35" s="29"/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1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3 - 7</v>
      </c>
      <c r="P36" s="76">
        <f>L36*3+M36</f>
        <v>1</v>
      </c>
      <c r="R36" s="58">
        <f>DATE(2018,6,24)+TIME(1,0,0)+gmt_delta</f>
        <v>43275.5</v>
      </c>
      <c r="S36" s="65" t="str">
        <f t="shared" si="2"/>
        <v>England_draw</v>
      </c>
      <c r="T36" s="65" t="str">
        <f t="shared" si="3"/>
        <v>Panama_draw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0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5</v>
      </c>
      <c r="AG36" s="58">
        <f t="shared" si="14"/>
        <v>6</v>
      </c>
      <c r="AH36" s="58">
        <f>MAX(AH32:AH35)-AH37+1</f>
        <v>60905</v>
      </c>
      <c r="AI36" s="58">
        <f>MAX(AI32:AI35)-AI37+1</f>
        <v>10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Mexico</v>
      </c>
      <c r="BG36" s="29">
        <v>2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Peru</v>
      </c>
      <c r="BS36" s="32"/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1</v>
      </c>
      <c r="G37" s="24">
        <v>3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9603</v>
      </c>
      <c r="AI37" s="58">
        <f>MIN(AI32:AI35)</f>
        <v>-4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Colombia</v>
      </c>
      <c r="BG37" s="32">
        <v>1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2</v>
      </c>
      <c r="AB38" s="59" t="str">
        <f>VLOOKUP("Germany",T,lang,FALSE)</f>
        <v>Germany</v>
      </c>
      <c r="AC38" s="58">
        <f>COUNTIF($S$7:$T$54,"=" &amp; AB38 &amp; "_win")</f>
        <v>2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7</v>
      </c>
      <c r="AG38" s="58">
        <f>SUMIF($E$7:$E$54,$AB38,$G$7:$G$54) + SUMIF($H$7:$H$54,$AB38,$F$7:$F$54)</f>
        <v>1</v>
      </c>
      <c r="AH38" s="58">
        <f>(AF38-AG38)*100+AK38*10000+AF38</f>
        <v>60607</v>
      </c>
      <c r="AI38" s="58">
        <f>AF38-AG38</f>
        <v>6</v>
      </c>
      <c r="AJ38" s="58">
        <f>(AI38-AI43)/AI42</f>
        <v>0.92307692307692313</v>
      </c>
      <c r="AK38" s="58">
        <f>AC38*3+AD38</f>
        <v>6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772.97515997435892</v>
      </c>
      <c r="AO38" s="60" t="str">
        <f>IF(SUM(AC38:AE41)=12,J39,INDEX(T,80,lang))</f>
        <v>Mexico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1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3</v>
      </c>
      <c r="G39" s="24">
        <v>1</v>
      </c>
      <c r="H39" s="67" t="str">
        <f>AB8</f>
        <v>Russia</v>
      </c>
      <c r="J39" s="69" t="str">
        <f>VLOOKUP(1,AA38:AK41,2,FALSE)</f>
        <v>Mexico</v>
      </c>
      <c r="K39" s="70">
        <f>L39+M39+N39</f>
        <v>3</v>
      </c>
      <c r="L39" s="70">
        <f>VLOOKUP(1,AA38:AK41,3,FALSE)</f>
        <v>3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7 - 1</v>
      </c>
      <c r="P39" s="71">
        <f>L39*3+M39</f>
        <v>9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1</v>
      </c>
      <c r="AB39" s="59" t="str">
        <f>VLOOKUP("Mexico",T,lang,FALSE)</f>
        <v>Mexico</v>
      </c>
      <c r="AC39" s="58">
        <f>COUNTIF($S$7:$T$54,"=" &amp; AB39 &amp; "_win")</f>
        <v>3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7</v>
      </c>
      <c r="AG39" s="58">
        <f>SUMIF($E$7:$E$54,$AB39,$G$7:$G$54) + SUMIF($H$7:$H$54,$AB39,$F$7:$F$54)</f>
        <v>1</v>
      </c>
      <c r="AH39" s="58">
        <f>(AF39-AG39)*100+AK39*10000+AF39</f>
        <v>90607</v>
      </c>
      <c r="AI39" s="58">
        <f>AF39-AG39</f>
        <v>6</v>
      </c>
      <c r="AJ39" s="58">
        <f>(AI39-AI43)/AI42</f>
        <v>0.92307692307692313</v>
      </c>
      <c r="AK39" s="58">
        <f>AC39*3+AD39</f>
        <v>9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1106.3082083076924</v>
      </c>
      <c r="AO39" s="60" t="str">
        <f>IF(SUM(AC38:AE41)=12,J40,INDEX(T,81,lang))</f>
        <v>Germany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0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2</v>
      </c>
      <c r="G40" s="24">
        <v>3</v>
      </c>
      <c r="H40" s="67" t="str">
        <f>AB10</f>
        <v>Egypt</v>
      </c>
      <c r="J40" s="72" t="str">
        <f>VLOOKUP(2,AA38:AK41,2,FALSE)</f>
        <v>Germany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7 - 1</v>
      </c>
      <c r="P40" s="73">
        <f>L40*3+M40</f>
        <v>6</v>
      </c>
      <c r="R40" s="58">
        <f>DATE(2018,6,25)+TIME(3,0,0)+gmt_delta</f>
        <v>43276.583333333336</v>
      </c>
      <c r="S40" s="65" t="str">
        <f t="shared" si="2"/>
        <v>Saudi Arabia_lose</v>
      </c>
      <c r="T40" s="65" t="str">
        <f t="shared" si="3"/>
        <v>Egypt_win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-1</v>
      </c>
      <c r="AA40" s="58">
        <f>COUNTIF(AN38:AN41,CONCATENATE("&gt;=",AN40))</f>
        <v>4</v>
      </c>
      <c r="AB40" s="59" t="str">
        <f>VLOOKUP("Sweden",T,lang,FALSE)</f>
        <v>Sweden</v>
      </c>
      <c r="AC40" s="58">
        <f>COUNTIF($S$7:$T$54,"=" &amp; AB40 &amp; "_win")</f>
        <v>0</v>
      </c>
      <c r="AD40" s="58">
        <f>COUNTIF($S$7:$T$54,"=" &amp; AB40 &amp; "_draw")</f>
        <v>1</v>
      </c>
      <c r="AE40" s="58">
        <f>COUNTIF($S$7:$T$54,"=" &amp; AB40 &amp; "_lose")</f>
        <v>2</v>
      </c>
      <c r="AF40" s="58">
        <f>SUMIF($E$7:$E$54,$AB40,$F$7:$F$54) + SUMIF($H$7:$H$54,$AB40,$G$7:$G$54)</f>
        <v>3</v>
      </c>
      <c r="AG40" s="58">
        <f>SUMIF($E$7:$E$54,$AB40,$G$7:$G$54) + SUMIF($H$7:$H$54,$AB40,$F$7:$F$54)</f>
        <v>9</v>
      </c>
      <c r="AH40" s="58">
        <f>(AF40-AG40)*100+AK40*10000+AF40</f>
        <v>9403</v>
      </c>
      <c r="AI40" s="58">
        <f>AF40-AG40</f>
        <v>-6</v>
      </c>
      <c r="AJ40" s="58">
        <f>(AI40-AI43)/AI42</f>
        <v>0</v>
      </c>
      <c r="AK40" s="58">
        <f>AC40*3+AD40</f>
        <v>1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117.11161011111112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0</v>
      </c>
      <c r="G41" s="24">
        <v>5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0</v>
      </c>
      <c r="M41" s="27">
        <f>VLOOKUP(3,AA38:AK41,4,FALSE)</f>
        <v>1</v>
      </c>
      <c r="N41" s="27">
        <f>VLOOKUP(3,AA38:AK41,5,FALSE)</f>
        <v>2</v>
      </c>
      <c r="O41" s="27" t="str">
        <f>VLOOKUP(3,AA38:AK41,6,FALSE) &amp; " - " &amp; VLOOKUP(3,AA38:AK41,7,FALSE)</f>
        <v>4 - 10</v>
      </c>
      <c r="P41" s="73">
        <f>L41*3+M41</f>
        <v>1</v>
      </c>
      <c r="R41" s="58">
        <f>DATE(2018,6,25)+TIME(7,0,0)+gmt_delta</f>
        <v>43276.75</v>
      </c>
      <c r="S41" s="65" t="str">
        <f t="shared" si="2"/>
        <v>Iran_lose</v>
      </c>
      <c r="T41" s="65" t="str">
        <f t="shared" si="3"/>
        <v>Portugal_win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-1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1</v>
      </c>
      <c r="AE41" s="58">
        <f>COUNTIF($S$7:$T$54,"=" &amp; AB41 &amp; "_lose")</f>
        <v>2</v>
      </c>
      <c r="AF41" s="58">
        <f>SUMIF($E$7:$E$54,$AB41,$F$7:$F$54) + SUMIF($H$7:$H$54,$AB41,$G$7:$G$54)</f>
        <v>4</v>
      </c>
      <c r="AG41" s="58">
        <f>SUMIF($E$7:$E$54,$AB41,$G$7:$G$54) + SUMIF($H$7:$H$54,$AB41,$F$7:$F$54)</f>
        <v>10</v>
      </c>
      <c r="AH41" s="58">
        <f>(AF41-AG41)*100+AK41*10000+AF41</f>
        <v>9404</v>
      </c>
      <c r="AI41" s="58">
        <f>AF41-AG41</f>
        <v>-6</v>
      </c>
      <c r="AJ41" s="58">
        <f>(AI41-AI43)/AI42</f>
        <v>0</v>
      </c>
      <c r="AK41" s="58">
        <f>AC41*3+AD41</f>
        <v>1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119.11139611111112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Belgium</v>
      </c>
      <c r="BP41" s="148"/>
      <c r="BQ41" s="148"/>
      <c r="BR41" s="148"/>
      <c r="BS41" s="148"/>
      <c r="BT41" s="148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4</v>
      </c>
      <c r="G42" s="24">
        <v>1</v>
      </c>
      <c r="H42" s="67" t="str">
        <f>AB16</f>
        <v>Morocco</v>
      </c>
      <c r="J42" s="74" t="str">
        <f>VLOOKUP(4,AA38:AK41,2,FALSE)</f>
        <v>Sweden</v>
      </c>
      <c r="K42" s="75">
        <f>L42+M42+N42</f>
        <v>3</v>
      </c>
      <c r="L42" s="75">
        <f>VLOOKUP(4,AA38:AK41,3,FALSE)</f>
        <v>0</v>
      </c>
      <c r="M42" s="75">
        <f>VLOOKUP(4,AA38:AK41,4,FALSE)</f>
        <v>1</v>
      </c>
      <c r="N42" s="75">
        <f>VLOOKUP(4,AA38:AK41,5,FALSE)</f>
        <v>2</v>
      </c>
      <c r="O42" s="75" t="str">
        <f>VLOOKUP(4,AA38:AK41,6,FALSE) &amp; " - " &amp; VLOOKUP(4,AA38:AK41,7,FALSE)</f>
        <v>3 - 9</v>
      </c>
      <c r="P42" s="76">
        <f>L42*3+M42</f>
        <v>1</v>
      </c>
      <c r="R42" s="58">
        <f>DATE(2018,6,25)+TIME(7,0,0)+gmt_delta</f>
        <v>43276.75</v>
      </c>
      <c r="S42" s="65" t="str">
        <f t="shared" si="2"/>
        <v>Spain_win</v>
      </c>
      <c r="T42" s="65" t="str">
        <f t="shared" si="3"/>
        <v>Morocco_lose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1</v>
      </c>
      <c r="AC42" s="58">
        <f t="shared" ref="AC42:AL42" si="15">MAX(AC38:AC41)-MIN(AC38:AC41)+1</f>
        <v>4</v>
      </c>
      <c r="AD42" s="58">
        <f t="shared" si="15"/>
        <v>2</v>
      </c>
      <c r="AE42" s="58">
        <f t="shared" si="15"/>
        <v>3</v>
      </c>
      <c r="AF42" s="58">
        <f t="shared" si="15"/>
        <v>5</v>
      </c>
      <c r="AG42" s="58">
        <f t="shared" si="15"/>
        <v>10</v>
      </c>
      <c r="AH42" s="58">
        <f>MAX(AH38:AH41)-AH43+1</f>
        <v>81205</v>
      </c>
      <c r="AI42" s="58">
        <f>MAX(AI38:AI41)-AI43+1</f>
        <v>13</v>
      </c>
      <c r="AK42" s="58">
        <f t="shared" si="15"/>
        <v>9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9403</v>
      </c>
      <c r="AI43" s="58">
        <f>MIN(AI38:AI41)</f>
        <v>-6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0</v>
      </c>
      <c r="G44" s="24">
        <v>3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7</v>
      </c>
      <c r="AG44" s="58">
        <f>SUMIF($E$7:$E$54,$AB44,$G$7:$G$54) + SUMIF($H$7:$H$54,$AB44,$F$7:$F$54)</f>
        <v>3</v>
      </c>
      <c r="AH44" s="58">
        <f>(AF44-AG44)*100+AK44*10000+AF44</f>
        <v>90407</v>
      </c>
      <c r="AI44" s="58">
        <f>AF44-AG44</f>
        <v>4</v>
      </c>
      <c r="AJ44" s="58">
        <f>(AI44-AI49)/AI48</f>
        <v>0.90909090909090906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1000.9097534090909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1</v>
      </c>
      <c r="G45" s="24">
        <v>1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7 - 3</v>
      </c>
      <c r="P45" s="71">
        <f>L45*3+M45</f>
        <v>9</v>
      </c>
      <c r="R45" s="58">
        <f>DATE(2018,6,26)+TIME(7,0,0)+gmt_delta</f>
        <v>43277.75</v>
      </c>
      <c r="S45" s="65" t="str">
        <f t="shared" si="2"/>
        <v>Nigeria_draw</v>
      </c>
      <c r="T45" s="65" t="str">
        <f t="shared" si="3"/>
        <v>Argentina_draw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0</v>
      </c>
      <c r="AA45" s="58">
        <f>COUNTIF(AN44:AN47,CONCATENATE("&gt;=",AN45))</f>
        <v>3</v>
      </c>
      <c r="AB45" s="59" t="str">
        <f>VLOOKUP("Panama",T,lang,FALSE)</f>
        <v>Panama</v>
      </c>
      <c r="AC45" s="58">
        <f>COUNTIF($S$7:$T$54,"=" &amp; AB45 &amp; "_win")</f>
        <v>1</v>
      </c>
      <c r="AD45" s="58">
        <f>COUNTIF($S$7:$T$54,"=" &amp; AB45 &amp; "_draw")</f>
        <v>1</v>
      </c>
      <c r="AE45" s="58">
        <f>COUNTIF($S$7:$T$54,"=" &amp; AB45 &amp; "_lose")</f>
        <v>1</v>
      </c>
      <c r="AF45" s="58">
        <f>SUMIF($E$7:$E$54,$AB45,$F$7:$F$54) + SUMIF($H$7:$H$54,$AB45,$G$7:$G$54)</f>
        <v>4</v>
      </c>
      <c r="AG45" s="58">
        <f>SUMIF($E$7:$E$54,$AB45,$G$7:$G$54) + SUMIF($H$7:$H$54,$AB45,$F$7:$F$54)</f>
        <v>4</v>
      </c>
      <c r="AH45" s="58">
        <f>(AF45-AG45)*100+AK45*10000+AF45</f>
        <v>40004</v>
      </c>
      <c r="AI45" s="58">
        <f>AF45-AG45</f>
        <v>0</v>
      </c>
      <c r="AJ45" s="58">
        <f>(AI45-AI49)/AI48</f>
        <v>0.54545454545454541</v>
      </c>
      <c r="AK45" s="58">
        <f>AC45*3+AD45</f>
        <v>4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460.2600507597403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5</v>
      </c>
      <c r="G46" s="24">
        <v>5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1</v>
      </c>
      <c r="M46" s="27">
        <f>VLOOKUP(2,AA44:AK47,4,FALSE)</f>
        <v>1</v>
      </c>
      <c r="N46" s="27">
        <f>VLOOKUP(2,AA44:AK47,5,FALSE)</f>
        <v>1</v>
      </c>
      <c r="O46" s="27" t="str">
        <f>VLOOKUP(2,AA44:AK47,6,FALSE) &amp; " - " &amp; VLOOKUP(2,AA44:AK47,7,FALSE)</f>
        <v>5 - 3</v>
      </c>
      <c r="P46" s="73">
        <f>L46*3+M46</f>
        <v>4</v>
      </c>
      <c r="R46" s="58">
        <f>DATE(2018,6,26)+TIME(7,0,0)+gmt_delta</f>
        <v>43277.75</v>
      </c>
      <c r="S46" s="65" t="str">
        <f t="shared" si="2"/>
        <v>Iceland_draw</v>
      </c>
      <c r="T46" s="65" t="str">
        <f t="shared" si="3"/>
        <v>Croatia_draw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0</v>
      </c>
      <c r="AA46" s="58">
        <f>COUNTIF(AN44:AN47,CONCATENATE("&gt;=",AN46))</f>
        <v>4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3</v>
      </c>
      <c r="AF46" s="58">
        <f>SUMIF($E$7:$E$54,$AB46,$F$7:$F$54) + SUMIF($H$7:$H$54,$AB46,$G$7:$G$54)</f>
        <v>1</v>
      </c>
      <c r="AG46" s="58">
        <f>SUMIF($E$7:$E$54,$AB46,$G$7:$G$54) + SUMIF($H$7:$H$54,$AB46,$F$7:$F$54)</f>
        <v>7</v>
      </c>
      <c r="AH46" s="58">
        <f>(AF46-AG46)*100+AK46*10000+AF46</f>
        <v>-599</v>
      </c>
      <c r="AI46" s="58">
        <f>AF46-AG46</f>
        <v>-6</v>
      </c>
      <c r="AJ46" s="58">
        <f>(AI46-AI49)/AI48</f>
        <v>0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1.4289904285714286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>
        <v>3</v>
      </c>
      <c r="G47" s="24">
        <v>4</v>
      </c>
      <c r="H47" s="67" t="str">
        <f>AB32</f>
        <v>Brazil</v>
      </c>
      <c r="J47" s="72" t="str">
        <f>VLOOKUP(3,AA44:AK47,2,FALSE)</f>
        <v>Panama</v>
      </c>
      <c r="K47" s="27">
        <f>L47+M47+N47</f>
        <v>3</v>
      </c>
      <c r="L47" s="27">
        <f>VLOOKUP(3,AA44:AK47,3,FALSE)</f>
        <v>1</v>
      </c>
      <c r="M47" s="27">
        <f>VLOOKUP(3,AA44:AK47,4,FALSE)</f>
        <v>1</v>
      </c>
      <c r="N47" s="27">
        <f>VLOOKUP(3,AA44:AK47,5,FALSE)</f>
        <v>1</v>
      </c>
      <c r="O47" s="27" t="str">
        <f>VLOOKUP(3,AA44:AK47,6,FALSE) &amp; " - " &amp; VLOOKUP(3,AA44:AK47,7,FALSE)</f>
        <v>4 - 4</v>
      </c>
      <c r="P47" s="73">
        <f>L47*3+M47</f>
        <v>4</v>
      </c>
      <c r="R47" s="58">
        <f>DATE(2018,6,27)+TIME(7,0,0)+gmt_delta</f>
        <v>43278.75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1</v>
      </c>
      <c r="AD47" s="58">
        <f>COUNTIF($S$7:$T$54,"=" &amp; AB47 &amp; "_draw")</f>
        <v>1</v>
      </c>
      <c r="AE47" s="58">
        <f>COUNTIF($S$7:$T$54,"=" &amp; AB47 &amp; "_lose")</f>
        <v>1</v>
      </c>
      <c r="AF47" s="58">
        <f>SUMIF($E$7:$E$54,$AB47,$F$7:$F$54) + SUMIF($H$7:$H$54,$AB47,$G$7:$G$54)</f>
        <v>5</v>
      </c>
      <c r="AG47" s="58">
        <f>SUMIF($E$7:$E$54,$AB47,$G$7:$G$54) + SUMIF($H$7:$H$54,$AB47,$F$7:$F$54)</f>
        <v>3</v>
      </c>
      <c r="AH47" s="58">
        <f>(AF47-AG47)*100+AK47*10000+AF47</f>
        <v>40205</v>
      </c>
      <c r="AI47" s="58">
        <f>AF47-AG47</f>
        <v>2</v>
      </c>
      <c r="AJ47" s="58">
        <f>(AI47-AI49)/AI48</f>
        <v>0.72727272727272729</v>
      </c>
      <c r="AK47" s="58">
        <f>AC47*3+AD47</f>
        <v>4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479.8706533701299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>
        <v>4</v>
      </c>
      <c r="G48" s="24">
        <v>1</v>
      </c>
      <c r="H48" s="67" t="str">
        <f>AB34</f>
        <v>Costa Rica</v>
      </c>
      <c r="J48" s="74" t="str">
        <f>VLOOKUP(4,AA44:AK47,2,FALSE)</f>
        <v>Tunisia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1 - 7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>Switzerland_win</v>
      </c>
      <c r="T48" s="65" t="str">
        <f t="shared" si="3"/>
        <v>Costa Rica_lose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1</v>
      </c>
      <c r="AC48" s="58">
        <f t="shared" ref="AC48:AL48" si="16">MAX(AC44:AC47)-MIN(AC44:AC47)+1</f>
        <v>4</v>
      </c>
      <c r="AD48" s="58">
        <f t="shared" si="16"/>
        <v>2</v>
      </c>
      <c r="AE48" s="58">
        <f t="shared" si="16"/>
        <v>4</v>
      </c>
      <c r="AF48" s="58">
        <f t="shared" si="16"/>
        <v>7</v>
      </c>
      <c r="AG48" s="58">
        <f t="shared" si="16"/>
        <v>5</v>
      </c>
      <c r="AH48" s="58">
        <f>MAX(AH44:AH47)-AH49+1</f>
        <v>91007</v>
      </c>
      <c r="AI48" s="58">
        <f>MAX(AI44:AI47)-AI49+1</f>
        <v>11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>
        <v>0</v>
      </c>
      <c r="G49" s="24">
        <v>4</v>
      </c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>Korea Republic_lose</v>
      </c>
      <c r="T49" s="65" t="str">
        <f t="shared" si="3"/>
        <v>Germany_win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-1</v>
      </c>
      <c r="AH49" s="58">
        <f>MIN(AH44:AH47)</f>
        <v>-599</v>
      </c>
      <c r="AI49" s="58">
        <f>MIN(AI44:AI47)</f>
        <v>-6</v>
      </c>
      <c r="AY49" s="140"/>
      <c r="AZ49" s="141"/>
      <c r="BA49" s="141"/>
      <c r="BB49" s="142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>
        <v>3</v>
      </c>
      <c r="G50" s="24">
        <v>0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>Mexico_win</v>
      </c>
      <c r="T50" s="65" t="str">
        <f t="shared" si="3"/>
        <v>Sweden_lose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1</v>
      </c>
      <c r="AA50" s="58">
        <f>COUNTIF(AN50:AN53,CONCATENATE("&gt;=",AN50))</f>
        <v>2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1</v>
      </c>
      <c r="AE50" s="58">
        <f>COUNTIF($S$7:$T$54,"=" &amp; AB50 &amp; "_lose")</f>
        <v>1</v>
      </c>
      <c r="AF50" s="58">
        <f>SUMIF($E$7:$E$54,$AB50,$F$7:$F$54) + SUMIF($H$7:$H$54,$AB50,$G$7:$G$54)</f>
        <v>6</v>
      </c>
      <c r="AG50" s="58">
        <f>SUMIF($E$7:$E$54,$AB50,$G$7:$G$54) + SUMIF($H$7:$H$54,$AB50,$F$7:$F$54)</f>
        <v>5</v>
      </c>
      <c r="AH50" s="58">
        <f>(AF50-AG50)*100+AK50*10000+AF50</f>
        <v>40106</v>
      </c>
      <c r="AI50" s="58">
        <f>AF50-AG50</f>
        <v>1</v>
      </c>
      <c r="AJ50" s="58">
        <f>(AI50-AI55)/AI54</f>
        <v>0.53846153846153844</v>
      </c>
      <c r="AK50" s="58">
        <f>AC50*3+AD50</f>
        <v>4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506.86263136202689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>
        <v>1</v>
      </c>
      <c r="G51" s="24">
        <v>2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3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9 - 3</v>
      </c>
      <c r="P51" s="71">
        <f>L51*3+M51</f>
        <v>9</v>
      </c>
      <c r="R51" s="58">
        <f>DATE(2018,6,28)+TIME(7,0,0)+gmt_delta</f>
        <v>43279.75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2</v>
      </c>
      <c r="AE51" s="58">
        <f>COUNTIF($S$7:$T$54,"=" &amp; AB51 &amp; "_lose")</f>
        <v>1</v>
      </c>
      <c r="AF51" s="58">
        <f>SUMIF($E$7:$E$54,$AB51,$F$7:$F$54) + SUMIF($H$7:$H$54,$AB51,$G$7:$G$54)</f>
        <v>5</v>
      </c>
      <c r="AG51" s="58">
        <f>SUMIF($E$7:$E$54,$AB51,$G$7:$G$54) + SUMIF($H$7:$H$54,$AB51,$F$7:$F$54)</f>
        <v>6</v>
      </c>
      <c r="AH51" s="58">
        <f>(AF51-AG51)*100+AK51*10000+AF51</f>
        <v>19905</v>
      </c>
      <c r="AI51" s="58">
        <f>AF51-AG51</f>
        <v>-1</v>
      </c>
      <c r="AJ51" s="58">
        <f>(AI51-AI55)/AI54</f>
        <v>0.38461538461538464</v>
      </c>
      <c r="AK51" s="58">
        <f>AC51*3+AD51</f>
        <v>2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267.82705982661787</v>
      </c>
      <c r="AO51" s="60" t="str">
        <f>IF(SUM(AC50:AE53)=12,J52,INDEX(T,85,lang))</f>
        <v>Poland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>
        <v>2</v>
      </c>
      <c r="G52" s="24">
        <v>0</v>
      </c>
      <c r="H52" s="67" t="str">
        <f>AB46</f>
        <v>Tunisia</v>
      </c>
      <c r="J52" s="72" t="str">
        <f>VLOOKUP(2,AA50:AK53,2,FALSE)</f>
        <v>Poland</v>
      </c>
      <c r="K52" s="27">
        <f>L52+M52+N52</f>
        <v>3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1</v>
      </c>
      <c r="O52" s="27" t="str">
        <f>VLOOKUP(2,AA50:AK53,6,FALSE) &amp; " - " &amp; VLOOKUP(2,AA50:AK53,7,FALSE)</f>
        <v>6 - 5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>Panama_win</v>
      </c>
      <c r="T52" s="65" t="str">
        <f t="shared" si="3"/>
        <v>Tunisia_lose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3</v>
      </c>
      <c r="AD52" s="58">
        <f>COUNTIF($S$7:$T$54,"=" &amp; AB52 &amp; "_draw")</f>
        <v>0</v>
      </c>
      <c r="AE52" s="58">
        <f>COUNTIF($S$7:$T$54,"=" &amp; AB52 &amp; "_lose")</f>
        <v>0</v>
      </c>
      <c r="AF52" s="58">
        <f>SUMIF($E$7:$E$54,$AB52,$F$7:$F$54) + SUMIF($H$7:$H$54,$AB52,$G$7:$G$54)</f>
        <v>9</v>
      </c>
      <c r="AG52" s="58">
        <f>SUMIF($E$7:$E$54,$AB52,$G$7:$G$54) + SUMIF($H$7:$H$54,$AB52,$F$7:$F$54)</f>
        <v>3</v>
      </c>
      <c r="AH52" s="58">
        <f>(AF52-AG52)*100+AK52*10000+AF52</f>
        <v>90609</v>
      </c>
      <c r="AI52" s="58">
        <f>AF52-AG52</f>
        <v>6</v>
      </c>
      <c r="AJ52" s="58">
        <f>(AI52-AI55)/AI54</f>
        <v>0.92307692307692313</v>
      </c>
      <c r="AK52" s="58">
        <f>AC52*3+AD52</f>
        <v>9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1105.1653741648352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>
        <v>0</v>
      </c>
      <c r="G53" s="24">
        <v>3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0</v>
      </c>
      <c r="M53" s="27">
        <f>VLOOKUP(3,AA50:AK53,4,FALSE)</f>
        <v>2</v>
      </c>
      <c r="N53" s="27">
        <f>VLOOKUP(3,AA50:AK53,5,FALSE)</f>
        <v>1</v>
      </c>
      <c r="O53" s="27" t="str">
        <f>VLOOKUP(3,AA50:AK53,6,FALSE) &amp; " - " &amp; VLOOKUP(3,AA50:AK53,7,FALSE)</f>
        <v>5 - 6</v>
      </c>
      <c r="P53" s="73">
        <f>L53*3+M53</f>
        <v>2</v>
      </c>
      <c r="R53" s="58">
        <f>DATE(2018,6,28)+TIME(3,0,0)+gmt_delta</f>
        <v>43279.583333333336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1</v>
      </c>
      <c r="AE53" s="58">
        <f>COUNTIF($S$7:$T$54,"=" &amp; AB53 &amp; "_lose")</f>
        <v>2</v>
      </c>
      <c r="AF53" s="58">
        <f>SUMIF($E$7:$E$54,$AB53,$F$7:$F$54) + SUMIF($H$7:$H$54,$AB53,$G$7:$G$54)</f>
        <v>3</v>
      </c>
      <c r="AG53" s="58">
        <f>SUMIF($E$7:$E$54,$AB53,$G$7:$G$54) + SUMIF($H$7:$H$54,$AB53,$F$7:$F$54)</f>
        <v>9</v>
      </c>
      <c r="AH53" s="58">
        <f>(AF53-AG53)*100+AK53*10000+AF53</f>
        <v>9403</v>
      </c>
      <c r="AI53" s="58">
        <f>AF53-AG53</f>
        <v>-6</v>
      </c>
      <c r="AJ53" s="58">
        <f>(AI53-AI55)/AI54</f>
        <v>0</v>
      </c>
      <c r="AK53" s="58">
        <f>AC53*3+AD53</f>
        <v>1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115.3971253968254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>
        <v>1</v>
      </c>
      <c r="G54" s="33">
        <v>2</v>
      </c>
      <c r="H54" s="68" t="str">
        <f>AB52</f>
        <v>Colombia</v>
      </c>
      <c r="J54" s="74" t="str">
        <f>VLOOKUP(4,AA50:AK53,2,FALSE)</f>
        <v>Japan</v>
      </c>
      <c r="K54" s="75">
        <f>L54+M54+N54</f>
        <v>3</v>
      </c>
      <c r="L54" s="75">
        <f>VLOOKUP(4,AA50:AK53,3,FALSE)</f>
        <v>0</v>
      </c>
      <c r="M54" s="75">
        <f>VLOOKUP(4,AA50:AK53,4,FALSE)</f>
        <v>1</v>
      </c>
      <c r="N54" s="75">
        <f>VLOOKUP(4,AA50:AK53,5,FALSE)</f>
        <v>2</v>
      </c>
      <c r="O54" s="75" t="str">
        <f>VLOOKUP(4,AA50:AK53,6,FALSE) &amp; " - " &amp; VLOOKUP(4,AA50:AK53,7,FALSE)</f>
        <v>3 - 9</v>
      </c>
      <c r="P54" s="76">
        <f>L54*3+M54</f>
        <v>1</v>
      </c>
      <c r="R54" s="58">
        <f>DATE(2018,6,28)+TIME(3,0,0)+gmt_delta</f>
        <v>43279.583333333336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4</v>
      </c>
      <c r="AD54" s="58">
        <f t="shared" si="17"/>
        <v>3</v>
      </c>
      <c r="AE54" s="58">
        <f t="shared" si="17"/>
        <v>3</v>
      </c>
      <c r="AF54" s="58">
        <f t="shared" si="17"/>
        <v>7</v>
      </c>
      <c r="AG54" s="58">
        <f t="shared" si="17"/>
        <v>7</v>
      </c>
      <c r="AH54" s="58">
        <f>MAX(AH50:AH53)-AH55+1</f>
        <v>81207</v>
      </c>
      <c r="AI54" s="58">
        <f>MAX(AI50:AI53)-AI55+1</f>
        <v>13</v>
      </c>
      <c r="AK54" s="58">
        <f t="shared" si="17"/>
        <v>9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9403</v>
      </c>
      <c r="AI55" s="58">
        <f>MIN(AI50:AI53)</f>
        <v>-6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>Spain</v>
      </c>
      <c r="T58" s="65" t="str">
        <f>IF(OR(S58="",S58="draw"),INDEX(T,86,lang),S58)</f>
        <v>Spain</v>
      </c>
    </row>
    <row r="59" spans="1:54" ht="12.75" customHeight="1" x14ac:dyDescent="0.2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>Denmark</v>
      </c>
      <c r="T59" s="65" t="str">
        <f>IF(OR(S59="",S59="draw"),INDEX(T,87,lang),S59)</f>
        <v>Denmark</v>
      </c>
    </row>
    <row r="60" spans="1:54" ht="12.75" customHeight="1" x14ac:dyDescent="0.2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>Portugal</v>
      </c>
      <c r="T60" s="65" t="str">
        <f>IF(OR(S60="",S60="draw"),INDEX(T,88,lang),S60)</f>
        <v>Portugal</v>
      </c>
    </row>
    <row r="61" spans="1:54" ht="12.75" customHeight="1" x14ac:dyDescent="0.2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>Peru</v>
      </c>
      <c r="T61" s="65" t="str">
        <f>IF(OR(S61="",S61="draw"),INDEX(T,89,lang),S61)</f>
        <v>Peru</v>
      </c>
    </row>
    <row r="62" spans="1:54" ht="12.75" customHeight="1" x14ac:dyDescent="0.2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>Switzerland</v>
      </c>
      <c r="T62" s="65" t="str">
        <f>IF(OR(S62="",S62="draw"),INDEX(T,90,lang),S62)</f>
        <v>Switzerland</v>
      </c>
    </row>
    <row r="63" spans="1:54" ht="12.75" customHeight="1" x14ac:dyDescent="0.2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>Mexico</v>
      </c>
      <c r="T64" s="65" t="str">
        <f>IF(OR(S64="",S64="draw"),INDEX(T,92,lang),S64)</f>
        <v>Mexico</v>
      </c>
    </row>
    <row r="65" spans="18:26" ht="12.75" customHeight="1" x14ac:dyDescent="0.2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>Colombia</v>
      </c>
      <c r="T65" s="65" t="str">
        <f>IF(OR(S65="",S65="draw"),INDEX(T,93,lang),S65)</f>
        <v>Colombia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>Denmark</v>
      </c>
      <c r="T69" s="65" t="str">
        <f>IF(OR(S69="",S69="draw"),INDEX(T,94,lang),S69)</f>
        <v>Denmark</v>
      </c>
    </row>
    <row r="70" spans="18:26" ht="12.75" customHeight="1" x14ac:dyDescent="0.2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>Belgium</v>
      </c>
      <c r="T70" s="65" t="str">
        <f>IF(OR(S70="",S70="draw"),INDEX(T,95,lang),S70)</f>
        <v>Belgium</v>
      </c>
    </row>
    <row r="71" spans="18:26" ht="12.75" customHeight="1" x14ac:dyDescent="0.2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>Peru</v>
      </c>
      <c r="T71" s="65" t="str">
        <f>IF(OR(S71="",S71="draw"),INDEX(T,96,lang),S71)</f>
        <v>Peru</v>
      </c>
    </row>
    <row r="72" spans="18:26" ht="12.75" customHeight="1" x14ac:dyDescent="0.2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>Mexico</v>
      </c>
      <c r="T72" s="65" t="str">
        <f>IF(OR(S72="",S72="draw"),INDEX(T,97,lang),S72)</f>
        <v>Mexico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>Belgium</v>
      </c>
      <c r="T76" s="65" t="str">
        <f>IF(OR(S76="",S76="draw"),INDEX(T,98,lang),S76)</f>
        <v>Belgium</v>
      </c>
      <c r="U76" s="65" t="str">
        <f>IF(OR(BM16="",BM17=""),"",IF(BM16&lt;BM17,BL16,IF(BM16&gt;BM17,BL17,IF(OR(BN16="",BN17=""),"draw",IF(BN16&lt;BN17,BL16,IF(BN16&gt;BN17,BL17,"draw"))))))</f>
        <v>Denmark</v>
      </c>
      <c r="Z76" s="65" t="str">
        <f>IF(OR(U76="",U76="draw"),INDEX(T,100,lang),U76)</f>
        <v>Denmark</v>
      </c>
    </row>
    <row r="77" spans="18:26" ht="12.75" customHeight="1" x14ac:dyDescent="0.2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>Mexico</v>
      </c>
      <c r="T77" s="65" t="str">
        <f>IF(OR(S77="",S77="draw"),INDEX(T,99,lang),S77)</f>
        <v>Mexico</v>
      </c>
      <c r="U77" s="65" t="str">
        <f>IF(OR(BM32="",BM33=""),"",IF(BM32&lt;BM33,BL32,IF(BM32&gt;BM33,BL33,IF(OR(BN32="",BN33=""),"draw",IF(BN32&lt;BN33,BL32,IF(BN32&gt;BN33,BL33,"draw"))))))</f>
        <v>Peru</v>
      </c>
      <c r="Z77" s="65" t="str">
        <f>IF(OR(U77="",U77="draw"),INDEX(T,101,lang),U77)</f>
        <v>Peru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>Belgium</v>
      </c>
      <c r="T85" s="65" t="str">
        <f>S85</f>
        <v>Belgium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5DC19248-CA97-4A65-901D-902A8CFD1871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C7F7E835-588F-4CFE-8B58-3E549F511EDD}">
      <formula1>"0,1,2,3,4,5,6,7,8,9"</formula1>
    </dataValidation>
  </dataValidations>
  <hyperlinks>
    <hyperlink ref="O3" location="Settings!C4" tooltip="Settings" display="Settings!C4" xr:uid="{B7D43826-7A10-4B1F-B7E9-9C5EA92B5AE3}"/>
    <hyperlink ref="J5:P5" r:id="rId1" tooltip="Excel Schedule" display="Home Page: www.excely.com" xr:uid="{F1B16304-7A83-4C19-8499-62AB6ADF14F7}"/>
    <hyperlink ref="J5:P6" r:id="rId2" tooltip="World Cup 2018 Schedule in Excel" display="Home Page: www.excely.com" xr:uid="{C5C0CB06-50F0-4DD5-AAB0-434A0F623240}"/>
    <hyperlink ref="AY46:BB52" r:id="rId3" tooltip="FIFA World Cup Historical Data 1930 - 2014" display="http://www.excely.com/football/fifa-world-cup-statistics.shtml" xr:uid="{3D7E925C-71F7-4395-AF7F-647ABF98F356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Nat Springer</cp:lastModifiedBy>
  <cp:lastPrinted>2018-01-03T15:36:04Z</cp:lastPrinted>
  <dcterms:created xsi:type="dcterms:W3CDTF">2017-12-27T19:32:51Z</dcterms:created>
  <dcterms:modified xsi:type="dcterms:W3CDTF">2018-06-18T05:18:46Z</dcterms:modified>
</cp:coreProperties>
</file>