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<sst xmlns="http://schemas.openxmlformats.org/spreadsheetml/2006/main" count="4552" uniqueCount="2581">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</sst>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30" zoomScaleNormal="100" workbookViewId="0">
      <selection activeCell="G43" sqref="G43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19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19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4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1</v>
      </c>
      <c r="AG26" s="58">
        <f>SUMIF($E$7:$E$54,$AB26,$G$7:$G$54) + SUMIF($H$7:$H$54,$AB26,$F$7:$F$54)</f>
        <v>4</v>
      </c>
      <c r="AH26" s="58">
        <f>(AF26-AG26)*100+AK26*10000+AF26</f>
        <v>9701</v>
      </c>
      <c r="AI26" s="58">
        <f>AF26-AG26</f>
        <v>-3</v>
      </c>
      <c r="AJ26" s="58">
        <f>(AI26-AI31)/AI30</f>
        <v>0</v>
      </c>
      <c r="AK26" s="58">
        <f>AC26*3+AD26</f>
        <v>1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168.66734066666666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2</v>
      </c>
      <c r="L27" s="70">
        <f>VLOOKUP(1,AA26:AK29,3,FALSE)</f>
        <v>2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5 - 0</v>
      </c>
      <c r="P27" s="71">
        <f>L27*3+M27</f>
        <v>6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1</v>
      </c>
      <c r="AF27" s="58">
        <f>SUMIF($E$7:$E$54,$AB27,$F$7:$F$54) + SUMIF($H$7:$H$54,$AB27,$G$7:$G$54)</f>
        <v>1</v>
      </c>
      <c r="AG27" s="58">
        <f>SUMIF($E$7:$E$54,$AB27,$G$7:$G$54) + SUMIF($H$7:$H$54,$AB27,$F$7:$F$54)</f>
        <v>3</v>
      </c>
      <c r="AH27" s="58">
        <f>(AF27-AG27)*100+AK27*10000+AF27</f>
        <v>9801</v>
      </c>
      <c r="AI27" s="58">
        <f>AF27-AG27</f>
        <v>-2</v>
      </c>
      <c r="AJ27" s="58">
        <f>(AI27-AI31)/AI30</f>
        <v>0.1111111111111111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179.77823277777776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Nigeria</v>
      </c>
      <c r="K28" s="27">
        <f>L28+M28+N28</f>
        <v>2</v>
      </c>
      <c r="L28" s="27">
        <f>VLOOKUP(2,AA26:AK29,3,FALSE)</f>
        <v>1</v>
      </c>
      <c r="M28" s="27">
        <f>VLOOKUP(2,AA26:AK29,4,FALSE)</f>
        <v>0</v>
      </c>
      <c r="N28" s="27">
        <f>VLOOKUP(2,AA26:AK29,5,FALSE)</f>
        <v>1</v>
      </c>
      <c r="O28" s="27" t="str">
        <f>VLOOKUP(2,AA26:AK29,6,FALSE) &amp; " - " &amp; VLOOKUP(2,AA26:AK29,7,FALSE)</f>
        <v>2 - 2</v>
      </c>
      <c r="P28" s="73">
        <f>L28*3+M28</f>
        <v>3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2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0</v>
      </c>
      <c r="AH28" s="58">
        <f>(AF28-AG28)*100+AK28*10000+AF28</f>
        <v>60505</v>
      </c>
      <c r="AI28" s="58">
        <f>AF28-AG28</f>
        <v>5</v>
      </c>
      <c r="AJ28" s="58">
        <f>(AI28-AI31)/AI30</f>
        <v>0.88888888888888884</v>
      </c>
      <c r="AK28" s="58">
        <f>AC28*3+AD28</f>
        <v>6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1098.8893978888889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Iceland</v>
      </c>
      <c r="K29" s="27">
        <f>L29+M29+N29</f>
        <v>2</v>
      </c>
      <c r="L29" s="27">
        <f>VLOOKUP(3,AA26:AK29,3,FALSE)</f>
        <v>0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1 - 3</v>
      </c>
      <c r="P29" s="73">
        <f>L29*3+M29</f>
        <v>1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2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1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2</v>
      </c>
      <c r="AH29" s="58">
        <f>(AF29-AG29)*100+AK29*10000+AF29</f>
        <v>30002</v>
      </c>
      <c r="AI29" s="58">
        <f>AF29-AG29</f>
        <v>0</v>
      </c>
      <c r="AJ29" s="58">
        <f>(AI29-AI31)/AI30</f>
        <v>0.33333333333333331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537.33365333333336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19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Argentina</v>
      </c>
      <c r="K30" s="75">
        <f>L30+M30+N30</f>
        <v>2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1</v>
      </c>
      <c r="O30" s="75" t="str">
        <f>VLOOKUP(4,AA26:AK29,6,FALSE) &amp; " - " &amp; VLOOKUP(4,AA26:AK29,7,FALSE)</f>
        <v>1 - 4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3</v>
      </c>
      <c r="AD30" s="58">
        <f t="shared" si="13"/>
        <v>2</v>
      </c>
      <c r="AE30" s="58">
        <f t="shared" si="13"/>
        <v>2</v>
      </c>
      <c r="AF30" s="58">
        <f t="shared" si="13"/>
        <v>5</v>
      </c>
      <c r="AG30" s="58">
        <f t="shared" si="13"/>
        <v>5</v>
      </c>
      <c r="AH30" s="58">
        <f>MAX(AH26:AH29)-AH31+1</f>
        <v>50805</v>
      </c>
      <c r="AI30" s="58">
        <f>MAX(AI26:AI29)-AI31+1</f>
        <v>9</v>
      </c>
      <c r="AK30" s="58">
        <f t="shared" si="13"/>
        <v>6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9701</v>
      </c>
      <c r="AI31" s="58">
        <f>MIN(AI26:AI29)</f>
        <v>-3</v>
      </c>
      <c r="AY31" s="119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1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3</v>
      </c>
      <c r="AG32" s="58">
        <f>SUMIF($E$7:$E$54,$AB32,$G$7:$G$54) + SUMIF($H$7:$H$54,$AB32,$F$7:$F$54)</f>
        <v>1</v>
      </c>
      <c r="AH32" s="58">
        <f>(AF32-AG32)*100+AK32*10000+AF32</f>
        <v>40203</v>
      </c>
      <c r="AI32" s="58">
        <f>AF32-AG32</f>
        <v>2</v>
      </c>
      <c r="AJ32" s="58">
        <f>(AI32-AI37)/AI36</f>
        <v>0.83333333333333337</v>
      </c>
      <c r="AK32" s="58">
        <f>AC32*3+AD32</f>
        <v>4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890.83407483333337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2</v>
      </c>
      <c r="L33" s="70">
        <f>VLOOKUP(1,AA32:AK35,3,FALSE)</f>
        <v>1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3 - 1</v>
      </c>
      <c r="P33" s="71">
        <f>L33*3+M33</f>
        <v>4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1</v>
      </c>
      <c r="V33" s="58">
        <f t="shared" si="5"/>
        <v>2</v>
      </c>
      <c r="W33" s="58">
        <f t="shared" si="6"/>
        <v>1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3</v>
      </c>
      <c r="AG33" s="58">
        <f>SUMIF($E$7:$E$54,$AB33,$G$7:$G$54) + SUMIF($H$7:$H$54,$AB33,$F$7:$F$54)</f>
        <v>2</v>
      </c>
      <c r="AH33" s="58">
        <f>(AF33-AG33)*100+AK33*10000+AF33</f>
        <v>40103</v>
      </c>
      <c r="AI33" s="58">
        <f>AF33-AG33</f>
        <v>1</v>
      </c>
      <c r="AJ33" s="58">
        <f>(AI33-AI37)/AI36</f>
        <v>0.66666666666666663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874.1672616666666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2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3 - 2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2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3</v>
      </c>
      <c r="AH34" s="58">
        <f>(AF34-AG34)*100+AK34*10000+AF34</f>
        <v>-300</v>
      </c>
      <c r="AI34" s="58">
        <f>AF34-AG34</f>
        <v>-3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2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1</v>
      </c>
      <c r="O35" s="27" t="str">
        <f>VLOOKUP(3,AA32:AK35,6,FALSE) &amp; " - " &amp; VLOOKUP(3,AA32:AK35,7,FALSE)</f>
        <v>2 - 2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1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2</v>
      </c>
      <c r="AH35" s="58">
        <f>(AF35-AG35)*100+AK35*10000+AF35</f>
        <v>30002</v>
      </c>
      <c r="AI35" s="58">
        <f>AF35-AG35</f>
        <v>0</v>
      </c>
      <c r="AJ35" s="58">
        <f>(AI35-AI37)/AI36</f>
        <v>0.5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655.00037799999996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2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2</v>
      </c>
      <c r="O36" s="75" t="str">
        <f>VLOOKUP(4,AA32:AK35,6,FALSE) &amp; " - " &amp; VLOOKUP(4,AA32:AK35,7,FALSE)</f>
        <v>0 - 3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2</v>
      </c>
      <c r="AD36" s="58">
        <f t="shared" si="14"/>
        <v>2</v>
      </c>
      <c r="AE36" s="58">
        <f t="shared" si="14"/>
        <v>3</v>
      </c>
      <c r="AF36" s="58">
        <f t="shared" si="14"/>
        <v>4</v>
      </c>
      <c r="AG36" s="58">
        <f t="shared" si="14"/>
        <v>3</v>
      </c>
      <c r="AH36" s="58">
        <f>MAX(AH32:AH35)-AH37+1</f>
        <v>40504</v>
      </c>
      <c r="AI36" s="58">
        <f>MAX(AI32:AI35)-AI37+1</f>
        <v>6</v>
      </c>
      <c r="AK36" s="58">
        <f t="shared" si="14"/>
        <v>5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-300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19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2</v>
      </c>
      <c r="AH38" s="58">
        <f>(AF38-AG38)*100+AK38*10000+AF38</f>
        <v>30002</v>
      </c>
      <c r="AI38" s="58">
        <f>AF38-AG38</f>
        <v>0</v>
      </c>
      <c r="AJ38" s="58">
        <f>(AI38-AI43)/AI42</f>
        <v>0.4</v>
      </c>
      <c r="AK38" s="58">
        <f>AC38*3+AD38</f>
        <v>3</v>
      </c>
      <c r="AL38" s="58">
        <f>AP38/AP42*1000+AQ38/AQ42*100+AT38/AT42*10+AR38/AR42</f>
        <v>504</v>
      </c>
      <c r="AM38" s="58">
        <f>VLOOKUP(AB38,db_fifarank,2,FALSE)/2000000</f>
        <v>8.0099999999999995E-4</v>
      </c>
      <c r="AN38" s="59">
        <f>1000*AK38/AK42+100*AJ38+10*AF38/AF42+1*AL38/AL42+AM38</f>
        <v>476.23102222234724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1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2</v>
      </c>
      <c r="AS38" s="62">
        <f>SUMPRODUCT(($E$7:$E$54=AB38)*($U$7:$U$54)*($G$7:$G$54))+SUMPRODUCT(($H$7:$H$54=AB38)*($U$7:$U$54)*($F$7:$F$54))</f>
        <v>1</v>
      </c>
      <c r="AT38" s="62">
        <f>AR38-AS38</f>
        <v>1</v>
      </c>
      <c r="AY38" s="118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Mexico</v>
      </c>
      <c r="K39" s="70">
        <f>L39+M39+N39</f>
        <v>2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3 - 1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1</v>
      </c>
      <c r="AH39" s="58">
        <f>(AF39-AG39)*100+AK39*10000+AF39</f>
        <v>60203</v>
      </c>
      <c r="AI39" s="58">
        <f>AF39-AG39</f>
        <v>2</v>
      </c>
      <c r="AJ39" s="58">
        <f>(AI39-AI43)/AI42</f>
        <v>0.8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947.14337314285706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Germany</v>
      </c>
      <c r="K40" s="27">
        <f>L40+M40+N40</f>
        <v>2</v>
      </c>
      <c r="L40" s="27">
        <f>VLOOKUP(2,AA38:AK41,3,FALSE)</f>
        <v>1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2 - 2</v>
      </c>
      <c r="P40" s="73">
        <f>L40*3+M40</f>
        <v>3</v>
      </c>
      <c r="R40" s="58">
        <f>DATE(2018,6,25)+TIME(3,0,0)+gmt_delta</f>
        <v>43276.583333333336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2</v>
      </c>
      <c r="AG40" s="58">
        <f>SUMIF($E$7:$E$54,$AB40,$G$7:$G$54) + SUMIF($H$7:$H$54,$AB40,$F$7:$F$54)</f>
        <v>2</v>
      </c>
      <c r="AH40" s="58">
        <f>(AF40-AG40)*100+AK40*10000+AF40</f>
        <v>30002</v>
      </c>
      <c r="AI40" s="58">
        <f>AF40-AG40</f>
        <v>0</v>
      </c>
      <c r="AJ40" s="58">
        <f>(AI40-AI43)/AI42</f>
        <v>0.4</v>
      </c>
      <c r="AK40" s="58">
        <f>AC40*3+AD40</f>
        <v>3</v>
      </c>
      <c r="AL40" s="58">
        <f>AP40/AP42*1000+AQ40/AQ42*100+AT40/AT42*10+AR40/AR42</f>
        <v>-2.9999999999999996</v>
      </c>
      <c r="AM40" s="58">
        <f>VLOOKUP(AB40,db_fifarank,2,FALSE)/2000000</f>
        <v>4.9899999999999999E-4</v>
      </c>
      <c r="AN40" s="59">
        <f>1000*AK40/AK42+100*AJ40+10*AF40/AF42+1*AL40/AL42+AM40</f>
        <v>475.23268872628421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1</v>
      </c>
      <c r="AS40" s="62">
        <f>SUMPRODUCT(($E$7:$E$54=AB40)*($U$7:$U$54)*($G$7:$G$54))+SUMPRODUCT(($H$7:$H$54=AB40)*($U$7:$U$54)*($F$7:$F$54))</f>
        <v>2</v>
      </c>
      <c r="AT40" s="62">
        <f>AR40-AS40</f>
        <v>-1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Sweden</v>
      </c>
      <c r="K41" s="27">
        <f>L41+M41+N41</f>
        <v>2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1</v>
      </c>
      <c r="O41" s="27" t="str">
        <f>VLOOKUP(3,AA38:AK41,6,FALSE) &amp; " - " &amp; VLOOKUP(3,AA38:AK41,7,FALSE)</f>
        <v>2 - 2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1</v>
      </c>
      <c r="AG41" s="58">
        <f>SUMIF($E$7:$E$54,$AB41,$G$7:$G$54) + SUMIF($H$7:$H$54,$AB41,$F$7:$F$54)</f>
        <v>3</v>
      </c>
      <c r="AH41" s="58">
        <f>(AF41-AG41)*100+AK41*10000+AF41</f>
        <v>-199</v>
      </c>
      <c r="AI41" s="58">
        <f>AF41-AG41</f>
        <v>-2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2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1 - 3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0</v>
      </c>
      <c r="AC42" s="58">
        <f t="shared" ref="AC42:AL42" si="15">MAX(AC38:AC41)-MIN(AC38:AC41)+1</f>
        <v>3</v>
      </c>
      <c r="AD42" s="58">
        <f t="shared" si="15"/>
        <v>1</v>
      </c>
      <c r="AE42" s="58">
        <f t="shared" si="15"/>
        <v>3</v>
      </c>
      <c r="AF42" s="58">
        <f t="shared" si="15"/>
        <v>3</v>
      </c>
      <c r="AG42" s="58">
        <f t="shared" si="15"/>
        <v>3</v>
      </c>
      <c r="AH42" s="58">
        <f>MAX(AH38:AH41)-AH43+1</f>
        <v>60403</v>
      </c>
      <c r="AI42" s="58">
        <f>MAX(AI38:AI41)-AI43+1</f>
        <v>5</v>
      </c>
      <c r="AK42" s="58">
        <f t="shared" si="15"/>
        <v>7</v>
      </c>
      <c r="AL42" s="58">
        <f t="shared" si="15"/>
        <v>508</v>
      </c>
      <c r="AP42" s="58">
        <f>MAX(AP38:AP41)-MIN(AP38:AP41)+1</f>
        <v>2</v>
      </c>
      <c r="AQ42" s="58">
        <f>MAX(AQ38:AQ41)-MIN(AQ38:AQ41)+1</f>
        <v>1</v>
      </c>
      <c r="AR42" s="58">
        <f>MAX(AR38:AR41)-MIN(AR38:AR41)+1</f>
        <v>3</v>
      </c>
      <c r="AS42" s="58">
        <f>MAX(AS38:AS41)-MIN(AS38:AS41)+1</f>
        <v>3</v>
      </c>
      <c r="AT42" s="58">
        <f>MAX(AT38:AT41)-MIN(AT38:AT41)+1</f>
        <v>3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-199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2</v>
      </c>
      <c r="AH44" s="58">
        <f>(AF44-AG44)*100+AK44*10000+AF44</f>
        <v>60608</v>
      </c>
      <c r="AI44" s="58">
        <f>AF44-AG44</f>
        <v>6</v>
      </c>
      <c r="AJ44" s="58">
        <f>(AI44-AI49)/AI48</f>
        <v>0.93333333333333335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960.47685297619046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2</v>
      </c>
      <c r="L45" s="70">
        <f>VLOOKUP(1,AA44:AK47,3,FALSE)</f>
        <v>2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8 - 2</v>
      </c>
      <c r="P45" s="71">
        <f>L45*3+M45</f>
        <v>6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9</v>
      </c>
      <c r="AH45" s="58">
        <f>(AF45-AG45)*100+AK45*10000+AF45</f>
        <v>-799</v>
      </c>
      <c r="AI45" s="58">
        <f>AF45-AG45</f>
        <v>-8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2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8 - 2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0.26666666666666666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30.417085666666669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2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2</v>
      </c>
      <c r="AH47" s="58">
        <f>(AF47-AG47)*100+AK47*10000+AF47</f>
        <v>60608</v>
      </c>
      <c r="AI47" s="58">
        <f>AF47-AG47</f>
        <v>6</v>
      </c>
      <c r="AJ47" s="58">
        <f>(AI47-AI49)/AI48</f>
        <v>0.93333333333333335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960.47671397619047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2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2</v>
      </c>
      <c r="O48" s="75" t="str">
        <f>VLOOKUP(4,AA44:AK47,6,FALSE) &amp; " - " &amp; VLOOKUP(4,AA44:AK47,7,FALSE)</f>
        <v>1 - 9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3</v>
      </c>
      <c r="AD48" s="58">
        <f t="shared" si="16"/>
        <v>1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61408</v>
      </c>
      <c r="AI48" s="58">
        <f>MAX(AI44:AI47)-AI49+1</f>
        <v>15</v>
      </c>
      <c r="AK48" s="58">
        <f t="shared" si="16"/>
        <v>7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-799</v>
      </c>
      <c r="AI49" s="58">
        <f>MIN(AI44:AI47)</f>
        <v>-8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1</v>
      </c>
      <c r="AG50" s="58">
        <f>SUMIF($E$7:$E$54,$AB50,$G$7:$G$54) + SUMIF($H$7:$H$54,$AB50,$F$7:$F$54)</f>
        <v>5</v>
      </c>
      <c r="AH50" s="58">
        <f>(AF50-AG50)*100+AK50*10000+AF50</f>
        <v>-399</v>
      </c>
      <c r="AI50" s="58">
        <f>AF50-AG50</f>
        <v>-4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2.5006045000000001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Senegal</v>
      </c>
      <c r="K51" s="70">
        <f>L51+M51+N51</f>
        <v>2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4 - 3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0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3</v>
      </c>
      <c r="AH51" s="58">
        <f>(AF51-AG51)*100+AK51*10000+AF51</f>
        <v>40104</v>
      </c>
      <c r="AI51" s="58">
        <f>AF51-AG51</f>
        <v>1</v>
      </c>
      <c r="AJ51" s="58">
        <f>(AI51-AI55)/AI54</f>
        <v>0.7142857142857143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882.40965858986181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Japan</v>
      </c>
      <c r="K52" s="27">
        <f>L52+M52+N52</f>
        <v>2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0</v>
      </c>
      <c r="O52" s="27" t="str">
        <f>VLOOKUP(2,AA50:AK53,6,FALSE) &amp; " - " &amp; VLOOKUP(2,AA50:AK53,7,FALSE)</f>
        <v>4 - 3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3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4</v>
      </c>
      <c r="AG52" s="58">
        <f>SUMIF($E$7:$E$54,$AB52,$G$7:$G$54) + SUMIF($H$7:$H$54,$AB52,$F$7:$F$54)</f>
        <v>2</v>
      </c>
      <c r="AH52" s="58">
        <f>(AF52-AG52)*100+AK52*10000+AF52</f>
        <v>30204</v>
      </c>
      <c r="AI52" s="58">
        <f>AF52-AG52</f>
        <v>2</v>
      </c>
      <c r="AJ52" s="58">
        <f>(AI52-AI55)/AI54</f>
        <v>0.8571428571428571</v>
      </c>
      <c r="AK52" s="58">
        <f>AC52*3+AD52</f>
        <v>3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695.71482471428567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Colombia</v>
      </c>
      <c r="K53" s="27">
        <f>L53+M53+N53</f>
        <v>2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1</v>
      </c>
      <c r="O53" s="27" t="str">
        <f>VLOOKUP(3,AA50:AK53,6,FALSE) &amp; " - " &amp; VLOOKUP(3,AA50:AK53,7,FALSE)</f>
        <v>4 - 2</v>
      </c>
      <c r="P53" s="73">
        <f>L53*3+M53</f>
        <v>3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0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3</v>
      </c>
      <c r="AH53" s="58">
        <f>(AF53-AG53)*100+AK53*10000+AF53</f>
        <v>40104</v>
      </c>
      <c r="AI53" s="58">
        <f>AF53-AG53</f>
        <v>1</v>
      </c>
      <c r="AJ53" s="58">
        <f>(AI53-AI55)/AI54</f>
        <v>0.7142857142857143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882.40951658986182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Poland</v>
      </c>
      <c r="K54" s="75">
        <f>L54+M54+N54</f>
        <v>2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1 - 5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3</v>
      </c>
      <c r="AF54" s="58">
        <f t="shared" si="17"/>
        <v>4</v>
      </c>
      <c r="AG54" s="58">
        <f t="shared" si="17"/>
        <v>4</v>
      </c>
      <c r="AH54" s="58">
        <f>MAX(AH50:AH53)-AH55+1</f>
        <v>40504</v>
      </c>
      <c r="AI54" s="58">
        <f>MAX(AI50:AI53)-AI55+1</f>
        <v>7</v>
      </c>
      <c r="AK54" s="58">
        <f t="shared" si="17"/>
        <v>5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-399</v>
      </c>
      <c r="AI55" s="58">
        <f>MIN(AI50:AI53)</f>
        <v>-4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2018-06-26T16:09:04Z</dcterms:modified>
</cp:coreProperties>
</file>