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ys\Desktop\War Cup 2018\"/>
    </mc:Choice>
  </mc:AlternateContent>
  <xr:revisionPtr revIDLastSave="0" documentId="13_ncr:1_{60BD8BAE-E0E3-409C-859D-0E18AF66D258}" xr6:coauthVersionLast="33" xr6:coauthVersionMax="33" xr10:uidLastSave="{00000000-0000-0000-0000-000000000000}"/>
  <bookViews>
    <workbookView xWindow="0" yWindow="0" windowWidth="17970" windowHeight="5955" firstSheet="1" activeTab="2" xr2:uid="{06679F38-40B3-4A34-860F-690D3A58D83C}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L20" i="3" l="1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 l="1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<sst xmlns="http://schemas.openxmlformats.org/spreadsheetml/2006/main" count="4552" uniqueCount="2581">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</sst>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1E7F-AE8F-44BD-B850-8391483B98A0}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cols>
    <col min="1" max="1" width="14" style="81"/>
  </cols>
  <sheetData>
    <row r="1" spans="1:44" x14ac:dyDescent="0.25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5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5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5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5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5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5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5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5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5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5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5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5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5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5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5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5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5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5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5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5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5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5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5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5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5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5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5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5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5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5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5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5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5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5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5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5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5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5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5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5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5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5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5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5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5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5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5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5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5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5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5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5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5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5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5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5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5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5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5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5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5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5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5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5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5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5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5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5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5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5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5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5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5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5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5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5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5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5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5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5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5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5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5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5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5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5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5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5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5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5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5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5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5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5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5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5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5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5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5">
      <c r="A103" s="82"/>
    </row>
    <row r="104" spans="1:44" x14ac:dyDescent="0.25">
      <c r="A104" s="82"/>
    </row>
    <row r="105" spans="1:44" x14ac:dyDescent="0.25">
      <c r="A105" s="82"/>
    </row>
    <row r="106" spans="1:44" x14ac:dyDescent="0.25">
      <c r="A106" s="82"/>
    </row>
    <row r="107" spans="1:44" x14ac:dyDescent="0.25">
      <c r="A107" s="82"/>
    </row>
    <row r="108" spans="1:44" x14ac:dyDescent="0.25">
      <c r="A108" s="82"/>
    </row>
    <row r="109" spans="1:44" x14ac:dyDescent="0.25">
      <c r="A109" s="82"/>
    </row>
    <row r="110" spans="1:44" x14ac:dyDescent="0.25">
      <c r="A110" s="82"/>
    </row>
    <row r="111" spans="1:44" x14ac:dyDescent="0.25">
      <c r="A111" s="82"/>
    </row>
    <row r="112" spans="1:44" x14ac:dyDescent="0.25">
      <c r="A112" s="82"/>
    </row>
    <row r="113" spans="1:43" x14ac:dyDescent="0.25">
      <c r="A113" s="82"/>
    </row>
    <row r="114" spans="1:43" x14ac:dyDescent="0.25">
      <c r="A114" s="82"/>
    </row>
    <row r="115" spans="1:43" x14ac:dyDescent="0.25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2527-19E5-4875-93D2-CFC0AC718D02}">
  <dimension ref="B1:I49"/>
  <sheetViews>
    <sheetView showGridLines="0" workbookViewId="0">
      <selection activeCell="C4" sqref="C4"/>
    </sheetView>
  </sheetViews>
  <sheetFormatPr defaultRowHeight="15" x14ac:dyDescent="0.25"/>
  <cols>
    <col min="1" max="1" width="1.140625" style="11" customWidth="1"/>
    <col min="2" max="2" width="18.85546875" style="11" bestFit="1" customWidth="1"/>
    <col min="3" max="3" width="20.28515625" style="11" customWidth="1"/>
    <col min="4" max="4" width="9.140625" style="11"/>
    <col min="5" max="5" width="1.140625" style="11" customWidth="1"/>
    <col min="6" max="6" width="9.140625" style="11"/>
    <col min="7" max="7" width="27.5703125" style="11" bestFit="1" customWidth="1"/>
    <col min="8" max="8" width="2.7109375" style="11" customWidth="1"/>
    <col min="9" max="9" width="1.140625" style="11" customWidth="1"/>
    <col min="10" max="16384" width="9.140625" style="11"/>
  </cols>
  <sheetData>
    <row r="1" spans="2:9" ht="7.5" customHeight="1" x14ac:dyDescent="0.25"/>
    <row r="2" spans="2:9" ht="16.5" thickBot="1" x14ac:dyDescent="0.3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5">
      <c r="B3" s="86"/>
      <c r="C3" s="87"/>
      <c r="D3" s="88"/>
      <c r="F3" s="86"/>
      <c r="G3" s="87"/>
      <c r="H3" s="88"/>
    </row>
    <row r="4" spans="2:9" x14ac:dyDescent="0.25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5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5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5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5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25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5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5">
      <c r="B11" s="86"/>
      <c r="C11" s="87"/>
      <c r="D11" s="88"/>
      <c r="F11" s="95"/>
      <c r="G11" s="96"/>
      <c r="H11" s="97"/>
    </row>
    <row r="12" spans="2:9" x14ac:dyDescent="0.25">
      <c r="B12" s="98" t="s">
        <v>2184</v>
      </c>
      <c r="C12" s="107" t="s">
        <v>1151</v>
      </c>
      <c r="D12" s="88"/>
    </row>
    <row r="13" spans="2:9" ht="9" customHeight="1" x14ac:dyDescent="0.25">
      <c r="B13" s="95"/>
      <c r="C13" s="96"/>
      <c r="D13" s="97"/>
    </row>
    <row r="14" spans="2:9" ht="9" customHeight="1" x14ac:dyDescent="0.25"/>
    <row r="15" spans="2:9" ht="9" customHeight="1" x14ac:dyDescent="0.25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6.5" thickBot="1" x14ac:dyDescent="0.3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25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5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5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5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5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5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5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5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5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5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5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5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5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5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5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5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5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5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5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5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5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5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5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5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5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5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5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5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5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5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5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5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5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DBAD2C3-6A5E-43E5-9FC6-9E3CAE1C968A}">
      <formula1>lang_list</formula1>
    </dataValidation>
    <dataValidation type="list" allowBlank="1" showInputMessage="1" showErrorMessage="1" promptTitle="Select Summer Time" prompt="Use drop-down List" sqref="C6" xr:uid="{28AC6A07-581B-484E-B93A-3F6462423AE7}">
      <formula1>"Yes,No"</formula1>
    </dataValidation>
    <dataValidation type="list" allowBlank="1" showInputMessage="1" showErrorMessage="1" promptTitle="Select GTM-time" prompt="Use drop-down List" sqref="C8" xr:uid="{EC83C832-B212-425C-9943-F17313271E59}">
      <formula1>$F$18:$F$41</formula1>
    </dataValidation>
    <dataValidation type="list" allowBlank="1" showInputMessage="1" showErrorMessage="1" promptTitle="Select Minutes" prompt="Use drop-down List" sqref="C10" xr:uid="{C6794E40-584C-4822-8504-C53404E82E2B}">
      <formula1>$F$43:$F$46</formula1>
    </dataValidation>
    <dataValidation type="list" allowBlank="1" showInputMessage="1" showErrorMessage="1" promptTitle="Select Your Favorite Team" prompt="Use drop-down List" sqref="C12" xr:uid="{5F5DA096-193C-403D-9698-1DEED542F9BD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AAD0-B7F9-4EC8-A89D-FA373AF4B5F2}">
  <sheetPr>
    <pageSetUpPr fitToPage="1"/>
  </sheetPr>
  <dimension ref="A1:BT97"/>
  <sheetViews>
    <sheetView showGridLines="0" tabSelected="1" zoomScaleNormal="100" workbookViewId="0">
      <selection activeCell="F7" sqref="F7"/>
    </sheetView>
  </sheetViews>
  <sheetFormatPr defaultRowHeight="15" x14ac:dyDescent="0.25"/>
  <cols>
    <col min="1" max="1" width="4.85546875" style="4" customWidth="1"/>
    <col min="2" max="2" width="6.140625" style="4" customWidth="1"/>
    <col min="3" max="3" width="11.7109375" style="4" bestFit="1" customWidth="1"/>
    <col min="4" max="4" width="7.28515625" style="5" customWidth="1"/>
    <col min="5" max="5" width="22.5703125" style="6" customWidth="1"/>
    <col min="6" max="7" width="4.28515625" style="7" customWidth="1"/>
    <col min="8" max="8" width="22.5703125" style="8" customWidth="1"/>
    <col min="9" max="9" width="3.42578125" style="3" customWidth="1"/>
    <col min="10" max="10" width="14" style="9" customWidth="1"/>
    <col min="11" max="14" width="5.42578125" style="10" customWidth="1"/>
    <col min="15" max="15" width="7.7109375" style="10" customWidth="1"/>
    <col min="16" max="16" width="6.7109375" style="10" customWidth="1"/>
    <col min="17" max="17" width="3.42578125" style="2" customWidth="1"/>
    <col min="18" max="18" width="15.42578125" style="58" hidden="1" customWidth="1"/>
    <col min="19" max="20" width="16" style="65" hidden="1" customWidth="1"/>
    <col min="21" max="21" width="5" style="59" hidden="1" customWidth="1"/>
    <col min="22" max="25" width="6.140625" style="58" hidden="1" customWidth="1"/>
    <col min="26" max="26" width="4.28515625" style="59" hidden="1" customWidth="1"/>
    <col min="27" max="27" width="5.42578125" style="58" hidden="1" customWidth="1"/>
    <col min="28" max="28" width="13.42578125" style="59" hidden="1" customWidth="1"/>
    <col min="29" max="33" width="5.42578125" style="58" hidden="1" customWidth="1"/>
    <col min="34" max="36" width="6" style="58" hidden="1" customWidth="1"/>
    <col min="37" max="37" width="5.42578125" style="58" hidden="1" customWidth="1"/>
    <col min="38" max="38" width="6" style="58" hidden="1" customWidth="1"/>
    <col min="39" max="39" width="7.140625" style="59" hidden="1" customWidth="1"/>
    <col min="40" max="40" width="10" style="59" hidden="1" customWidth="1"/>
    <col min="41" max="41" width="15.28515625" style="60" hidden="1" customWidth="1"/>
    <col min="42" max="42" width="4.7109375" style="61" hidden="1" customWidth="1"/>
    <col min="43" max="46" width="4.7109375" style="62" hidden="1" customWidth="1"/>
    <col min="47" max="49" width="9.140625" style="63" hidden="1" customWidth="1"/>
    <col min="50" max="50" width="9.140625" style="64" hidden="1" customWidth="1"/>
    <col min="51" max="51" width="3.28515625" style="3" customWidth="1"/>
    <col min="52" max="52" width="19.7109375" style="3" customWidth="1"/>
    <col min="53" max="54" width="3" style="3" customWidth="1"/>
    <col min="55" max="56" width="2" style="3" customWidth="1"/>
    <col min="57" max="57" width="3.28515625" style="3" customWidth="1"/>
    <col min="58" max="58" width="19.7109375" style="3" customWidth="1"/>
    <col min="59" max="60" width="3" style="3" customWidth="1"/>
    <col min="61" max="62" width="2" style="3" customWidth="1"/>
    <col min="63" max="63" width="3.28515625" style="3" customWidth="1"/>
    <col min="64" max="64" width="19.7109375" style="3" customWidth="1"/>
    <col min="65" max="66" width="3" style="3" customWidth="1"/>
    <col min="67" max="68" width="2" style="3" customWidth="1"/>
    <col min="69" max="69" width="3.28515625" style="3" customWidth="1"/>
    <col min="70" max="70" width="19.7109375" style="3" customWidth="1"/>
    <col min="71" max="72" width="3" style="3" customWidth="1"/>
    <col min="73" max="16384" width="9.140625" style="3"/>
  </cols>
  <sheetData>
    <row r="1" spans="1:72" ht="46.5" x14ac:dyDescent="0.25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5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5"/>
    <row r="5" spans="1:72" ht="15" customHeight="1" x14ac:dyDescent="0.25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25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25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/>
      <c r="G7" s="17"/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/>
      </c>
      <c r="T7" s="65" t="str">
        <f t="shared" ref="T7:T54" si="3">IF(S7="","",IF(F7&lt;G7,H7&amp;"_win",IF(F7&gt;G7,H7&amp;"_lose",H7&amp;"_draw")))</f>
        <v/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 t="str">
        <f>IF(OR(F7="",G7=""),"",IF(F7&gt;G7,1,IF(F7&lt;G7,-1,0)))</f>
        <v/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25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/>
      <c r="G8" s="24"/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/>
      </c>
      <c r="T8" s="65" t="str">
        <f t="shared" si="3"/>
        <v/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 t="str">
        <f t="shared" ref="Y8:Y54" si="9">IF(OR(F8="",G8=""),"",IF(F8&gt;G8,1,IF(F8&lt;G8,-1,0)))</f>
        <v/>
      </c>
      <c r="AA8" s="58">
        <f>COUNTIF(AN8:AN11,CONCATENATE("&gt;=",AN8))</f>
        <v>4</v>
      </c>
      <c r="AB8" s="59" t="str">
        <f>VLOOKUP("Russia",T,lang,FALSE)</f>
        <v>Russia</v>
      </c>
      <c r="AC8" s="58">
        <f>COUNTIF($S$7:$T$54,"=" &amp; AB8 &amp; "_win")</f>
        <v>0</v>
      </c>
      <c r="AD8" s="58">
        <f>COUNTIF($S$7:$T$54,"=" &amp; AB8 &amp; "_draw")</f>
        <v>0</v>
      </c>
      <c r="AE8" s="58">
        <f>COUNTIF($S$7:$T$54,"=" &amp; AB8 &amp; "_lose")</f>
        <v>0</v>
      </c>
      <c r="AF8" s="58">
        <f>SUMIF($E$7:$E$54,$AB8,$F$7:$F$54) + SUMIF($H$7:$H$54,$AB8,$G$7:$G$54)</f>
        <v>0</v>
      </c>
      <c r="AG8" s="58">
        <f>SUMIF($E$7:$E$54,$AB8,$G$7:$G$54) + SUMIF($H$7:$H$54,$AB8,$F$7:$F$54)</f>
        <v>0</v>
      </c>
      <c r="AH8" s="58">
        <f>(AF8-AG8)+1</f>
        <v>1</v>
      </c>
      <c r="AI8" s="58">
        <f>AF8-AG8</f>
        <v>0</v>
      </c>
      <c r="AJ8" s="58">
        <f>(AI8-AI13)/AI12</f>
        <v>0</v>
      </c>
      <c r="AK8" s="58">
        <f>AC8*3+AD8</f>
        <v>0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2.6699999999999998E-4</v>
      </c>
      <c r="AO8" s="60" t="str">
        <f>IF(SUM(AC8:AE11)=12,J9,INDEX(T,70,lang))</f>
        <v>1A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5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/>
      <c r="G9" s="24"/>
      <c r="H9" s="67" t="str">
        <f>AB15</f>
        <v>Spain</v>
      </c>
      <c r="J9" s="69" t="str">
        <f>VLOOKUP(1,AA8:AK11,2,FALSE)</f>
        <v>Uruguay</v>
      </c>
      <c r="K9" s="70">
        <f>L9+M9+N9</f>
        <v>0</v>
      </c>
      <c r="L9" s="70">
        <f>VLOOKUP(1,AA8:AK11,3,FALSE)</f>
        <v>0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0 - 0</v>
      </c>
      <c r="P9" s="71">
        <f>L9*3+M9</f>
        <v>0</v>
      </c>
      <c r="R9" s="58">
        <f>DATE(2018,6,15)+TIME(7,0,0)+gmt_delta</f>
        <v>43266.75</v>
      </c>
      <c r="S9" s="65" t="str">
        <f t="shared" si="2"/>
        <v/>
      </c>
      <c r="T9" s="65" t="str">
        <f t="shared" si="3"/>
        <v/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 t="str">
        <f t="shared" si="9"/>
        <v/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0</v>
      </c>
      <c r="AF9" s="58">
        <f>SUMIF($E$7:$E$54,$AB9,$F$7:$F$54) + SUMIF($H$7:$H$54,$AB9,$G$7:$G$54)</f>
        <v>0</v>
      </c>
      <c r="AG9" s="58">
        <f>SUMIF($E$7:$E$54,$AB9,$G$7:$G$54) + SUMIF($H$7:$H$54,$AB9,$F$7:$F$54)</f>
        <v>0</v>
      </c>
      <c r="AH9" s="58">
        <f>(AF9-AG9)+1</f>
        <v>1</v>
      </c>
      <c r="AI9" s="58">
        <f>AF9-AG9</f>
        <v>0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2.7149999999999999E-4</v>
      </c>
      <c r="AO9" s="60" t="str">
        <f>IF(SUM(AC8:AE11)=12,J10,INDEX(T,71,lang))</f>
        <v>2A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5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/>
      <c r="G10" s="24"/>
      <c r="H10" s="67" t="str">
        <f>AB17</f>
        <v>Iran</v>
      </c>
      <c r="J10" s="72" t="str">
        <f>VLOOKUP(2,AA8:AK11,2,FALSE)</f>
        <v>Egypt</v>
      </c>
      <c r="K10" s="27">
        <f>L10+M10+N10</f>
        <v>0</v>
      </c>
      <c r="L10" s="27">
        <f>VLOOKUP(2,AA8:AK11,3,FALSE)</f>
        <v>0</v>
      </c>
      <c r="M10" s="27">
        <f>VLOOKUP(2,AA8:AK11,4,FALSE)</f>
        <v>0</v>
      </c>
      <c r="N10" s="27">
        <f>VLOOKUP(2,AA8:AK11,5,FALSE)</f>
        <v>0</v>
      </c>
      <c r="O10" s="27" t="str">
        <f>VLOOKUP(2,AA8:AK11,6,FALSE) &amp; " - " &amp; VLOOKUP(2,AA8:AK11,7,FALSE)</f>
        <v>0 - 0</v>
      </c>
      <c r="P10" s="73">
        <f>L10*3+M10</f>
        <v>0</v>
      </c>
      <c r="R10" s="58">
        <f>DATE(2018,6,15)+TIME(4,0,0)+gmt_delta</f>
        <v>43266.625</v>
      </c>
      <c r="S10" s="65" t="str">
        <f t="shared" si="2"/>
        <v/>
      </c>
      <c r="T10" s="65" t="str">
        <f t="shared" si="3"/>
        <v/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 t="str">
        <f t="shared" si="9"/>
        <v/>
      </c>
      <c r="AA10" s="58">
        <f>COUNTIF(AN8:AN11,CONCATENATE("&gt;=",AN10))</f>
        <v>2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0</v>
      </c>
      <c r="AF10" s="58">
        <f>SUMIF($E$7:$E$54,$AB10,$F$7:$F$54) + SUMIF($H$7:$H$54,$AB10,$G$7:$G$54)</f>
        <v>0</v>
      </c>
      <c r="AG10" s="58">
        <f>SUMIF($E$7:$E$54,$AB10,$G$7:$G$54) + SUMIF($H$7:$H$54,$AB10,$F$7:$F$54)</f>
        <v>0</v>
      </c>
      <c r="AH10" s="58">
        <f>(AF10-AG10)+1</f>
        <v>1</v>
      </c>
      <c r="AI10" s="58">
        <f>AF10-AG10</f>
        <v>0</v>
      </c>
      <c r="AJ10" s="58">
        <f>(AI10-AI13)/AI12</f>
        <v>0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4.0250000000000003E-4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1A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5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/>
      <c r="G11" s="24"/>
      <c r="H11" s="67" t="str">
        <f>AB21</f>
        <v>Australia</v>
      </c>
      <c r="J11" s="72" t="str">
        <f>VLOOKUP(3,AA8:AK11,2,FALSE)</f>
        <v>Saudi Arabia</v>
      </c>
      <c r="K11" s="27">
        <f>L11+M11+N11</f>
        <v>0</v>
      </c>
      <c r="L11" s="27">
        <f>VLOOKUP(3,AA8:AK11,3,FALSE)</f>
        <v>0</v>
      </c>
      <c r="M11" s="27">
        <f>VLOOKUP(3,AA8:AK11,4,FALSE)</f>
        <v>0</v>
      </c>
      <c r="N11" s="27">
        <f>VLOOKUP(3,AA8:AK11,5,FALSE)</f>
        <v>0</v>
      </c>
      <c r="O11" s="27" t="str">
        <f>VLOOKUP(3,AA8:AK11,6,FALSE) &amp; " - " &amp; VLOOKUP(3,AA8:AK11,7,FALSE)</f>
        <v>0 - 0</v>
      </c>
      <c r="P11" s="73">
        <f>L11*3+M11</f>
        <v>0</v>
      </c>
      <c r="R11" s="58">
        <f>DATE(2018,6,15)+TIME(23,0,0)+gmt_delta</f>
        <v>43267.416666666672</v>
      </c>
      <c r="S11" s="65" t="str">
        <f t="shared" si="2"/>
        <v/>
      </c>
      <c r="T11" s="65" t="str">
        <f t="shared" si="3"/>
        <v/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 t="str">
        <f t="shared" si="9"/>
        <v/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0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0</v>
      </c>
      <c r="AG11" s="58">
        <f>SUMIF($E$7:$E$54,$AB11,$G$7:$G$54) + SUMIF($H$7:$H$54,$AB11,$F$7:$F$54)</f>
        <v>0</v>
      </c>
      <c r="AH11" s="58">
        <f>(AF11-AG11)+1</f>
        <v>1</v>
      </c>
      <c r="AI11" s="58">
        <f>AF11-AG11</f>
        <v>0</v>
      </c>
      <c r="AJ11" s="58">
        <f>(AI11-AI13)/AI12</f>
        <v>0</v>
      </c>
      <c r="AK11" s="58">
        <f>AC11*3+AD11</f>
        <v>0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4.6200000000000001E-4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2B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5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/>
      <c r="G12" s="24"/>
      <c r="H12" s="67" t="str">
        <f>AB23</f>
        <v>Denmark</v>
      </c>
      <c r="J12" s="74" t="str">
        <f>VLOOKUP(4,AA8:AK11,2,FALSE)</f>
        <v>Russia</v>
      </c>
      <c r="K12" s="75">
        <f>L12+M12+N12</f>
        <v>0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0</v>
      </c>
      <c r="O12" s="75" t="str">
        <f>VLOOKUP(4,AA8:AK11,6,FALSE) &amp; " - " &amp; VLOOKUP(4,AA8:AK11,7,FALSE)</f>
        <v>0 - 0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/>
      </c>
      <c r="T12" s="65" t="str">
        <f t="shared" si="3"/>
        <v/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 t="str">
        <f t="shared" si="9"/>
        <v/>
      </c>
      <c r="AC12" s="58">
        <f t="shared" ref="AC12:AL12" si="10">MAX(AC8:AC11)-MIN(AC8:AC11)+1</f>
        <v>1</v>
      </c>
      <c r="AD12" s="58">
        <f t="shared" si="10"/>
        <v>1</v>
      </c>
      <c r="AE12" s="58">
        <f t="shared" si="10"/>
        <v>1</v>
      </c>
      <c r="AF12" s="58">
        <f t="shared" si="10"/>
        <v>1</v>
      </c>
      <c r="AG12" s="58">
        <f t="shared" si="10"/>
        <v>1</v>
      </c>
      <c r="AH12" s="58">
        <f>MAX(AH8:AH11)-AH13+1</f>
        <v>1</v>
      </c>
      <c r="AI12" s="58">
        <f>MAX(AI8:AI11)-AI13+1</f>
        <v>1</v>
      </c>
      <c r="AK12" s="58">
        <f t="shared" si="10"/>
        <v>1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5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/>
      <c r="G13" s="24"/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/>
      </c>
      <c r="T13" s="65" t="str">
        <f t="shared" si="3"/>
        <v/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 t="str">
        <f t="shared" si="9"/>
        <v/>
      </c>
      <c r="AH13" s="58">
        <f>MIN(AH8:AH11)</f>
        <v>1</v>
      </c>
      <c r="AI13" s="58">
        <f>MIN(AI8:AI11)</f>
        <v>0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19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5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/>
      <c r="G14" s="24"/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/>
      </c>
      <c r="T14" s="65" t="str">
        <f t="shared" si="3"/>
        <v/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 t="str">
        <f t="shared" si="9"/>
        <v/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0</v>
      </c>
      <c r="AD14" s="58">
        <f>COUNTIF($S$7:$T$54,"=" &amp; AB14 &amp; "_draw")</f>
        <v>0</v>
      </c>
      <c r="AE14" s="58">
        <f>COUNTIF($S$7:$T$54,"=" &amp; AB14 &amp; "_lose")</f>
        <v>0</v>
      </c>
      <c r="AF14" s="58">
        <f>SUMIF($E$7:$E$54,$AB14,$F$7:$F$54) + SUMIF($H$7:$H$54,$AB14,$G$7:$G$54)</f>
        <v>0</v>
      </c>
      <c r="AG14" s="58">
        <f>SUMIF($E$7:$E$54,$AB14,$G$7:$G$54) + SUMIF($H$7:$H$54,$AB14,$F$7:$F$54)</f>
        <v>0</v>
      </c>
      <c r="AH14" s="58">
        <f>(AF14-AG14)*100+AK14*10000+AF14</f>
        <v>0</v>
      </c>
      <c r="AI14" s="58">
        <f>AF14-AG14</f>
        <v>0</v>
      </c>
      <c r="AJ14" s="58">
        <f>(AI14-AI19)/AI18</f>
        <v>0</v>
      </c>
      <c r="AK14" s="58">
        <f>AC14*3+AD14</f>
        <v>0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6.7900000000000002E-4</v>
      </c>
      <c r="AO14" s="60" t="str">
        <f>IF(SUM(AC14:AE17)=12,J15,INDEX(T,72,lang))</f>
        <v>1B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1C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5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/>
      <c r="G15" s="24"/>
      <c r="H15" s="67" t="str">
        <f>AB33</f>
        <v>Switzerland</v>
      </c>
      <c r="J15" s="69" t="str">
        <f>VLOOKUP(1,AA14:AK17,2,FALSE)</f>
        <v>Portugal</v>
      </c>
      <c r="K15" s="70">
        <f>L15+M15+N15</f>
        <v>0</v>
      </c>
      <c r="L15" s="70">
        <f>VLOOKUP(1,AA14:AK17,3,FALSE)</f>
        <v>0</v>
      </c>
      <c r="M15" s="70">
        <f>VLOOKUP(1,AA14:AK17,4,FALSE)</f>
        <v>0</v>
      </c>
      <c r="N15" s="70">
        <f>VLOOKUP(1,AA14:AK17,5,FALSE)</f>
        <v>0</v>
      </c>
      <c r="O15" s="70" t="str">
        <f>VLOOKUP(1,AA14:AK17,6,FALSE) &amp; " - " &amp; VLOOKUP(1,AA14:AK17,7,FALSE)</f>
        <v>0 - 0</v>
      </c>
      <c r="P15" s="71">
        <f>L15*3+M15</f>
        <v>0</v>
      </c>
      <c r="R15" s="58">
        <f>DATE(2018,6,17)+TIME(7,0,0)+gmt_delta</f>
        <v>43268.75</v>
      </c>
      <c r="S15" s="65" t="str">
        <f t="shared" si="2"/>
        <v/>
      </c>
      <c r="T15" s="65" t="str">
        <f t="shared" si="3"/>
        <v/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 t="str">
        <f t="shared" si="9"/>
        <v/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0</v>
      </c>
      <c r="AD15" s="58">
        <f>COUNTIF($S$7:$T$54,"=" &amp; AB15 &amp; "_draw")</f>
        <v>0</v>
      </c>
      <c r="AE15" s="58">
        <f>COUNTIF($S$7:$T$54,"=" &amp; AB15 &amp; "_lose")</f>
        <v>0</v>
      </c>
      <c r="AF15" s="58">
        <f>SUMIF($E$7:$E$54,$AB15,$F$7:$F$54) + SUMIF($H$7:$H$54,$AB15,$G$7:$G$54)</f>
        <v>0</v>
      </c>
      <c r="AG15" s="58">
        <f>SUMIF($E$7:$E$54,$AB15,$G$7:$G$54) + SUMIF($H$7:$H$54,$AB15,$F$7:$F$54)</f>
        <v>0</v>
      </c>
      <c r="AH15" s="58">
        <f>(AF15-AG15)*100+AK15*10000+AF15</f>
        <v>0</v>
      </c>
      <c r="AI15" s="58">
        <f>AF15-AG15</f>
        <v>0</v>
      </c>
      <c r="AJ15" s="58">
        <f>(AI15-AI19)/AI18</f>
        <v>0</v>
      </c>
      <c r="AK15" s="58">
        <f>AC15*3+AD15</f>
        <v>0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6.1550000000000005E-4</v>
      </c>
      <c r="AO15" s="60" t="str">
        <f>IF(SUM(AC14:AE17)=12,J16,INDEX(T,73,lang))</f>
        <v>2B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2D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5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/>
      <c r="G16" s="24"/>
      <c r="H16" s="67" t="str">
        <f>AB35</f>
        <v>Serbia</v>
      </c>
      <c r="J16" s="72" t="str">
        <f>VLOOKUP(2,AA14:AK17,2,FALSE)</f>
        <v>Spain</v>
      </c>
      <c r="K16" s="27">
        <f>L16+M16+N16</f>
        <v>0</v>
      </c>
      <c r="L16" s="27">
        <f>VLOOKUP(2,AA14:AK17,3,FALSE)</f>
        <v>0</v>
      </c>
      <c r="M16" s="27">
        <f>VLOOKUP(2,AA14:AK17,4,FALSE)</f>
        <v>0</v>
      </c>
      <c r="N16" s="27">
        <f>VLOOKUP(2,AA14:AK17,5,FALSE)</f>
        <v>0</v>
      </c>
      <c r="O16" s="27" t="str">
        <f>VLOOKUP(2,AA14:AK17,6,FALSE) &amp; " - " &amp; VLOOKUP(2,AA14:AK17,7,FALSE)</f>
        <v>0 - 0</v>
      </c>
      <c r="P16" s="73">
        <f>L16*3+M16</f>
        <v>0</v>
      </c>
      <c r="R16" s="58">
        <f>DATE(2018,6,17)+TIME(1,0,0)+gmt_delta</f>
        <v>43268.5</v>
      </c>
      <c r="S16" s="65" t="str">
        <f t="shared" si="2"/>
        <v/>
      </c>
      <c r="T16" s="65" t="str">
        <f t="shared" si="3"/>
        <v/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 t="str">
        <f t="shared" si="9"/>
        <v/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0</v>
      </c>
      <c r="AF16" s="58">
        <f>SUMIF($E$7:$E$54,$AB16,$F$7:$F$54) + SUMIF($H$7:$H$54,$AB16,$G$7:$G$54)</f>
        <v>0</v>
      </c>
      <c r="AG16" s="58">
        <f>SUMIF($E$7:$E$54,$AB16,$G$7:$G$54) + SUMIF($H$7:$H$54,$AB16,$F$7:$F$54)</f>
        <v>0</v>
      </c>
      <c r="AH16" s="58">
        <f>(AF16-AG16)*100+AK16*10000+AF16</f>
        <v>0</v>
      </c>
      <c r="AI16" s="58">
        <f>AF16-AG16</f>
        <v>0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3.6900000000000002E-4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25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/>
      <c r="G17" s="24"/>
      <c r="H17" s="67" t="str">
        <f>AB39</f>
        <v>Mexico</v>
      </c>
      <c r="J17" s="72" t="str">
        <f>VLOOKUP(3,AA14:AK17,2,FALSE)</f>
        <v>Iran</v>
      </c>
      <c r="K17" s="27">
        <f>L17+M17+N17</f>
        <v>0</v>
      </c>
      <c r="L17" s="27">
        <f>VLOOKUP(3,AA14:AK17,3,FALSE)</f>
        <v>0</v>
      </c>
      <c r="M17" s="27">
        <f>VLOOKUP(3,AA14:AK17,4,FALSE)</f>
        <v>0</v>
      </c>
      <c r="N17" s="27">
        <f>VLOOKUP(3,AA14:AK17,5,FALSE)</f>
        <v>0</v>
      </c>
      <c r="O17" s="27" t="str">
        <f>VLOOKUP(3,AA14:AK17,6,FALSE) &amp; " - " &amp; VLOOKUP(3,AA14:AK17,7,FALSE)</f>
        <v>0 - 0</v>
      </c>
      <c r="P17" s="73">
        <f>L17*3+M17</f>
        <v>0</v>
      </c>
      <c r="R17" s="58">
        <f>DATE(2018,6,17)+TIME(4,0,0)+gmt_delta</f>
        <v>43268.625</v>
      </c>
      <c r="S17" s="65" t="str">
        <f t="shared" si="2"/>
        <v/>
      </c>
      <c r="T17" s="65" t="str">
        <f t="shared" si="3"/>
        <v/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 t="str">
        <f t="shared" si="9"/>
        <v/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0</v>
      </c>
      <c r="AD17" s="58">
        <f>COUNTIF($S$7:$T$54,"=" &amp; AB17 &amp; "_draw")</f>
        <v>0</v>
      </c>
      <c r="AE17" s="58">
        <f>COUNTIF($S$7:$T$54,"=" &amp; AB17 &amp; "_lose")</f>
        <v>0</v>
      </c>
      <c r="AF17" s="58">
        <f>SUMIF($E$7:$E$54,$AB17,$F$7:$F$54) + SUMIF($H$7:$H$54,$AB17,$G$7:$G$54)</f>
        <v>0</v>
      </c>
      <c r="AG17" s="58">
        <f>SUMIF($E$7:$E$54,$AB17,$G$7:$G$54) + SUMIF($H$7:$H$54,$AB17,$F$7:$F$54)</f>
        <v>0</v>
      </c>
      <c r="AH17" s="58">
        <f>(AF17-AG17)*100+AK17*10000+AF17</f>
        <v>0</v>
      </c>
      <c r="AI17" s="58">
        <f>AF17-AG17</f>
        <v>0</v>
      </c>
      <c r="AJ17" s="58">
        <f>(AI17-AI19)/AI18</f>
        <v>0</v>
      </c>
      <c r="AK17" s="58">
        <f>AC17*3+AD17</f>
        <v>0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3.9899999999999999E-4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25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/>
      <c r="G18" s="24"/>
      <c r="H18" s="67" t="str">
        <f>AB41</f>
        <v>Korea Republic</v>
      </c>
      <c r="J18" s="74" t="str">
        <f>VLOOKUP(4,AA14:AK17,2,FALSE)</f>
        <v>Morocco</v>
      </c>
      <c r="K18" s="75">
        <f>L18+M18+N18</f>
        <v>0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0</v>
      </c>
      <c r="O18" s="75" t="str">
        <f>VLOOKUP(4,AA14:AK17,6,FALSE) &amp; " - " &amp; VLOOKUP(4,AA14:AK17,7,FALSE)</f>
        <v>0 - 0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/>
      </c>
      <c r="T18" s="65" t="str">
        <f t="shared" si="3"/>
        <v/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 t="str">
        <f t="shared" si="9"/>
        <v/>
      </c>
      <c r="AC18" s="58">
        <f t="shared" ref="AC18:AL18" si="11">MAX(AC14:AC17)-MIN(AC14:AC17)+1</f>
        <v>1</v>
      </c>
      <c r="AD18" s="58">
        <f t="shared" si="11"/>
        <v>1</v>
      </c>
      <c r="AE18" s="58">
        <f t="shared" si="11"/>
        <v>1</v>
      </c>
      <c r="AF18" s="58">
        <f t="shared" si="11"/>
        <v>1</v>
      </c>
      <c r="AG18" s="58">
        <f t="shared" si="11"/>
        <v>1</v>
      </c>
      <c r="AH18" s="58">
        <f>MAX(AH14:AH17)-AH19+1</f>
        <v>1</v>
      </c>
      <c r="AI18" s="58">
        <f>MAX(AI14:AI17)-AI19+1</f>
        <v>1</v>
      </c>
      <c r="AK18" s="58">
        <f t="shared" si="11"/>
        <v>1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1E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5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/>
      <c r="G19" s="24"/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/>
      </c>
      <c r="T19" s="65" t="str">
        <f t="shared" si="3"/>
        <v/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 t="str">
        <f t="shared" si="9"/>
        <v/>
      </c>
      <c r="AH19" s="58">
        <f>MIN(AH14:AH17)</f>
        <v>0</v>
      </c>
      <c r="AI19" s="58">
        <f>MIN(AI14:AI17)</f>
        <v>0</v>
      </c>
      <c r="AY19" s="119"/>
      <c r="AZ19" s="31" t="str">
        <f>AO39</f>
        <v>2F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5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/>
      <c r="G20" s="24"/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/>
      </c>
      <c r="T20" s="65" t="str">
        <f t="shared" si="3"/>
        <v/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 t="str">
        <f t="shared" si="9"/>
        <v/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0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0</v>
      </c>
      <c r="AG20" s="58">
        <f>SUMIF($E$7:$E$54,$AB20,$G$7:$G$54) + SUMIF($H$7:$H$54,$AB20,$F$7:$F$54)</f>
        <v>0</v>
      </c>
      <c r="AH20" s="58">
        <f>(AF20-AG20)*100+AK20*10000+AF20</f>
        <v>0</v>
      </c>
      <c r="AI20" s="58">
        <f>AF20-AG20</f>
        <v>0</v>
      </c>
      <c r="AJ20" s="58">
        <f>(AI20-AI25)/AI24</f>
        <v>0</v>
      </c>
      <c r="AK20" s="58">
        <f>AC20*3+AD20</f>
        <v>0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5.9150000000000001E-4</v>
      </c>
      <c r="AO20" s="60" t="str">
        <f>IF(SUM(AC20:AE23)=12,J21,INDEX(T,74,lang))</f>
        <v>1C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5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/>
      <c r="G21" s="24"/>
      <c r="H21" s="67" t="str">
        <f>AB51</f>
        <v>Senegal</v>
      </c>
      <c r="J21" s="69" t="str">
        <f>VLOOKUP(1,AA20:AK23,2,FALSE)</f>
        <v>France</v>
      </c>
      <c r="K21" s="70">
        <f>L21+M21+N21</f>
        <v>0</v>
      </c>
      <c r="L21" s="70">
        <f>VLOOKUP(1,AA20:AK23,3,FALSE)</f>
        <v>0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0 - 0</v>
      </c>
      <c r="P21" s="71">
        <f>L21*3+M21</f>
        <v>0</v>
      </c>
      <c r="R21" s="58">
        <f>DATE(2018,6,19)+TIME(4,0,0)+gmt_delta</f>
        <v>43270.625</v>
      </c>
      <c r="S21" s="65" t="str">
        <f t="shared" si="2"/>
        <v/>
      </c>
      <c r="T21" s="65" t="str">
        <f t="shared" si="3"/>
        <v/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 t="str">
        <f t="shared" si="9"/>
        <v/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0</v>
      </c>
      <c r="AE21" s="58">
        <f>COUNTIF($S$7:$T$54,"=" &amp; AB21 &amp; "_lose")</f>
        <v>0</v>
      </c>
      <c r="AF21" s="58">
        <f>SUMIF($E$7:$E$54,$AB21,$F$7:$F$54) + SUMIF($H$7:$H$54,$AB21,$G$7:$G$54)</f>
        <v>0</v>
      </c>
      <c r="AG21" s="58">
        <f>SUMIF($E$7:$E$54,$AB21,$G$7:$G$54) + SUMIF($H$7:$H$54,$AB21,$F$7:$F$54)</f>
        <v>0</v>
      </c>
      <c r="AH21" s="58">
        <f>(AF21-AG21)*100+AK21*10000+AF21</f>
        <v>0</v>
      </c>
      <c r="AI21" s="58">
        <f>AF21-AG21</f>
        <v>0</v>
      </c>
      <c r="AJ21" s="58">
        <f>(AI21-AI25)/AI24</f>
        <v>0</v>
      </c>
      <c r="AK21" s="58">
        <f>AC21*3+AD21</f>
        <v>0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3.7350000000000003E-4</v>
      </c>
      <c r="AO21" s="60" t="str">
        <f>IF(SUM(AC20:AE23)=12,J22,INDEX(T,75,lang))</f>
        <v>2C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19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5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/>
      <c r="G22" s="24"/>
      <c r="H22" s="67" t="str">
        <f>AB53</f>
        <v>Japan</v>
      </c>
      <c r="J22" s="72" t="str">
        <f>VLOOKUP(2,AA20:AK23,2,FALSE)</f>
        <v>Peru</v>
      </c>
      <c r="K22" s="27">
        <f>L22+M22+N22</f>
        <v>0</v>
      </c>
      <c r="L22" s="27">
        <f>VLOOKUP(2,AA20:AK23,3,FALSE)</f>
        <v>0</v>
      </c>
      <c r="M22" s="27">
        <f>VLOOKUP(2,AA20:AK23,4,FALSE)</f>
        <v>0</v>
      </c>
      <c r="N22" s="27">
        <f>VLOOKUP(2,AA20:AK23,5,FALSE)</f>
        <v>0</v>
      </c>
      <c r="O22" s="27" t="str">
        <f>VLOOKUP(2,AA20:AK23,6,FALSE) &amp; " - " &amp; VLOOKUP(2,AA20:AK23,7,FALSE)</f>
        <v>0 - 0</v>
      </c>
      <c r="P22" s="73">
        <f>L22*3+M22</f>
        <v>0</v>
      </c>
      <c r="R22" s="58">
        <f>DATE(2018,6,19)+TIME(1,0,0)+gmt_delta</f>
        <v>43270.5</v>
      </c>
      <c r="S22" s="65" t="str">
        <f t="shared" si="2"/>
        <v/>
      </c>
      <c r="T22" s="65" t="str">
        <f t="shared" si="3"/>
        <v/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 t="str">
        <f t="shared" si="9"/>
        <v/>
      </c>
      <c r="AA22" s="58">
        <f>COUNTIF(AN20:AN23,CONCATENATE("&gt;=",AN22))</f>
        <v>2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0</v>
      </c>
      <c r="AE22" s="58">
        <f>COUNTIF($S$7:$T$54,"=" &amp; AB22 &amp; "_lose")</f>
        <v>0</v>
      </c>
      <c r="AF22" s="58">
        <f>SUMIF($E$7:$E$54,$AB22,$F$7:$F$54) + SUMIF($H$7:$H$54,$AB22,$G$7:$G$54)</f>
        <v>0</v>
      </c>
      <c r="AG22" s="58">
        <f>SUMIF($E$7:$E$54,$AB22,$G$7:$G$54) + SUMIF($H$7:$H$54,$AB22,$F$7:$F$54)</f>
        <v>0</v>
      </c>
      <c r="AH22" s="58">
        <f>(AF22-AG22)*100+AK22*10000+AF22</f>
        <v>0</v>
      </c>
      <c r="AI22" s="58">
        <f>AF22-AG22</f>
        <v>0</v>
      </c>
      <c r="AJ22" s="58">
        <f>(AI22-AI25)/AI24</f>
        <v>0</v>
      </c>
      <c r="AK22" s="58">
        <f>AC22*3+AD22</f>
        <v>0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5.6400000000000005E-4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25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/>
      <c r="G23" s="24"/>
      <c r="H23" s="67" t="str">
        <f>AB10</f>
        <v>Egypt</v>
      </c>
      <c r="J23" s="72" t="str">
        <f>VLOOKUP(3,AA20:AK23,2,FALSE)</f>
        <v>Denmark</v>
      </c>
      <c r="K23" s="27">
        <f>L23+M23+N23</f>
        <v>0</v>
      </c>
      <c r="L23" s="27">
        <f>VLOOKUP(3,AA20:AK23,3,FALSE)</f>
        <v>0</v>
      </c>
      <c r="M23" s="27">
        <f>VLOOKUP(3,AA20:AK23,4,FALSE)</f>
        <v>0</v>
      </c>
      <c r="N23" s="27">
        <f>VLOOKUP(3,AA20:AK23,5,FALSE)</f>
        <v>0</v>
      </c>
      <c r="O23" s="27" t="str">
        <f>VLOOKUP(3,AA20:AK23,6,FALSE) &amp; " - " &amp; VLOOKUP(3,AA20:AK23,7,FALSE)</f>
        <v>0 - 0</v>
      </c>
      <c r="P23" s="73">
        <f>L23*3+M23</f>
        <v>0</v>
      </c>
      <c r="R23" s="58">
        <f>DATE(2018,6,19)+TIME(7,0,0)+gmt_delta</f>
        <v>43270.75</v>
      </c>
      <c r="S23" s="65" t="str">
        <f t="shared" si="2"/>
        <v/>
      </c>
      <c r="T23" s="65" t="str">
        <f t="shared" si="3"/>
        <v/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 t="str">
        <f t="shared" si="9"/>
        <v/>
      </c>
      <c r="AA23" s="58">
        <f>COUNTIF(AN20:AN23,CONCATENATE("&gt;=",AN23))</f>
        <v>3</v>
      </c>
      <c r="AB23" s="59" t="str">
        <f>VLOOKUP("Denmark",T,lang,FALSE)</f>
        <v>Denmark</v>
      </c>
      <c r="AC23" s="58">
        <f>COUNTIF($S$7:$T$54,"=" &amp; AB23 &amp; "_win")</f>
        <v>0</v>
      </c>
      <c r="AD23" s="58">
        <f>COUNTIF($S$7:$T$54,"=" &amp; AB23 &amp; "_draw")</f>
        <v>0</v>
      </c>
      <c r="AE23" s="58">
        <f>COUNTIF($S$7:$T$54,"=" &amp; AB23 &amp; "_lose")</f>
        <v>0</v>
      </c>
      <c r="AF23" s="58">
        <f>SUMIF($E$7:$E$54,$AB23,$F$7:$F$54) + SUMIF($H$7:$H$54,$AB23,$G$7:$G$54)</f>
        <v>0</v>
      </c>
      <c r="AG23" s="58">
        <f>SUMIF($E$7:$E$54,$AB23,$G$7:$G$54) + SUMIF($H$7:$H$54,$AB23,$F$7:$F$54)</f>
        <v>0</v>
      </c>
      <c r="AH23" s="58">
        <f>(AF23-AG23)*100+AK23*10000+AF23</f>
        <v>0</v>
      </c>
      <c r="AI23" s="58">
        <f>AF23-AG23</f>
        <v>0</v>
      </c>
      <c r="AJ23" s="58">
        <f>(AI23-AI25)/AI24</f>
        <v>0</v>
      </c>
      <c r="AK23" s="58">
        <f>AC23*3+AD23</f>
        <v>0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5.4949999999999997E-4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W61</v>
      </c>
      <c r="BS23" s="29"/>
      <c r="BT23" s="30"/>
    </row>
    <row r="24" spans="1:72" ht="15" customHeight="1" x14ac:dyDescent="0.25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/>
      <c r="G24" s="24"/>
      <c r="H24" s="67" t="str">
        <f>AB9</f>
        <v>Saudi Arabia</v>
      </c>
      <c r="J24" s="74" t="str">
        <f>VLOOKUP(4,AA20:AK23,2,FALSE)</f>
        <v>Australia</v>
      </c>
      <c r="K24" s="75">
        <f>L24+M24+N24</f>
        <v>0</v>
      </c>
      <c r="L24" s="75">
        <f>VLOOKUP(4,AA20:AK23,3,FALSE)</f>
        <v>0</v>
      </c>
      <c r="M24" s="75">
        <f>VLOOKUP(4,AA20:AK23,4,FALSE)</f>
        <v>0</v>
      </c>
      <c r="N24" s="75">
        <f>VLOOKUP(4,AA20:AK23,5,FALSE)</f>
        <v>0</v>
      </c>
      <c r="O24" s="75" t="str">
        <f>VLOOKUP(4,AA20:AK23,6,FALSE) &amp; " - " &amp; VLOOKUP(4,AA20:AK23,7,FALSE)</f>
        <v>0 - 0</v>
      </c>
      <c r="P24" s="76">
        <f>L24*3+M24</f>
        <v>0</v>
      </c>
      <c r="R24" s="58">
        <f>DATE(2018,6,20)+TIME(4,0,0)+gmt_delta</f>
        <v>43271.625</v>
      </c>
      <c r="S24" s="65" t="str">
        <f t="shared" si="2"/>
        <v/>
      </c>
      <c r="T24" s="65" t="str">
        <f t="shared" si="3"/>
        <v/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 t="str">
        <f t="shared" si="9"/>
        <v/>
      </c>
      <c r="AC24" s="58">
        <f t="shared" ref="AC24:AL24" si="12">MAX(AC20:AC23)-MIN(AC20:AC23)+1</f>
        <v>1</v>
      </c>
      <c r="AD24" s="58">
        <f t="shared" si="12"/>
        <v>1</v>
      </c>
      <c r="AE24" s="58">
        <f t="shared" si="12"/>
        <v>1</v>
      </c>
      <c r="AF24" s="58">
        <f t="shared" si="12"/>
        <v>1</v>
      </c>
      <c r="AG24" s="58">
        <f t="shared" si="12"/>
        <v>1</v>
      </c>
      <c r="AH24" s="58">
        <f>MAX(AH20:AH23)-AH25+1</f>
        <v>1</v>
      </c>
      <c r="AI24" s="58">
        <f>MAX(AI20:AI23)-AI25+1</f>
        <v>1</v>
      </c>
      <c r="AK24" s="58">
        <f t="shared" si="12"/>
        <v>1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W62</v>
      </c>
      <c r="BS24" s="32"/>
      <c r="BT24" s="33"/>
    </row>
    <row r="25" spans="1:72" ht="15" customHeight="1" x14ac:dyDescent="0.25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/>
      <c r="G25" s="24"/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/>
      </c>
      <c r="T25" s="65" t="str">
        <f t="shared" si="3"/>
        <v/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 t="str">
        <f t="shared" si="9"/>
        <v/>
      </c>
      <c r="AH25" s="58">
        <f>MIN(AH20:AH23)</f>
        <v>0</v>
      </c>
      <c r="AI25" s="58">
        <f>MIN(AI20:AI23)</f>
        <v>0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5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/>
      <c r="G26" s="24"/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/>
      </c>
      <c r="T26" s="65" t="str">
        <f t="shared" si="3"/>
        <v/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 t="str">
        <f t="shared" si="9"/>
        <v/>
      </c>
      <c r="AA26" s="58">
        <f>COUNTIF(AN26:AN29,CONCATENATE("&gt;=",AN26))</f>
        <v>1</v>
      </c>
      <c r="AB26" s="59" t="str">
        <f>VLOOKUP("Argentina",T,lang,FALSE)</f>
        <v>Argentina</v>
      </c>
      <c r="AC26" s="58">
        <f>COUNTIF($S$7:$T$54,"=" &amp; AB26 &amp; "_win")</f>
        <v>0</v>
      </c>
      <c r="AD26" s="58">
        <f>COUNTIF($S$7:$T$54,"=" &amp; AB26 &amp; "_draw")</f>
        <v>0</v>
      </c>
      <c r="AE26" s="58">
        <f>COUNTIF($S$7:$T$54,"=" &amp; AB26 &amp; "_lose")</f>
        <v>0</v>
      </c>
      <c r="AF26" s="58">
        <f>SUMIF($E$7:$E$54,$AB26,$F$7:$F$54) + SUMIF($H$7:$H$54,$AB26,$G$7:$G$54)</f>
        <v>0</v>
      </c>
      <c r="AG26" s="58">
        <f>SUMIF($E$7:$E$54,$AB26,$G$7:$G$54) + SUMIF($H$7:$H$54,$AB26,$F$7:$F$54)</f>
        <v>0</v>
      </c>
      <c r="AH26" s="58">
        <f>(AF26-AG26)*100+AK26*10000+AF26</f>
        <v>0</v>
      </c>
      <c r="AI26" s="58">
        <f>AF26-AG26</f>
        <v>0</v>
      </c>
      <c r="AJ26" s="58">
        <f>(AI26-AI31)/AI30</f>
        <v>0</v>
      </c>
      <c r="AK26" s="58">
        <f>AC26*3+AD26</f>
        <v>0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6.7400000000000001E-4</v>
      </c>
      <c r="AO26" s="60" t="str">
        <f>IF(SUM(AC26:AE29)=12,J27,INDEX(T,76,lang))</f>
        <v>1D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1B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5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/>
      <c r="G27" s="24"/>
      <c r="H27" s="67" t="str">
        <f>AB22</f>
        <v>Peru</v>
      </c>
      <c r="J27" s="69" t="str">
        <f>VLOOKUP(1,AA26:AK29,2,FALSE)</f>
        <v>Argentina</v>
      </c>
      <c r="K27" s="70">
        <f>L27+M27+N27</f>
        <v>0</v>
      </c>
      <c r="L27" s="70">
        <f>VLOOKUP(1,AA26:AK29,3,FALSE)</f>
        <v>0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0 - 0</v>
      </c>
      <c r="P27" s="71">
        <f>L27*3+M27</f>
        <v>0</v>
      </c>
      <c r="R27" s="58">
        <f>DATE(2018,6,21)+TIME(4,0,0)+gmt_delta</f>
        <v>43272.625</v>
      </c>
      <c r="S27" s="65" t="str">
        <f t="shared" si="2"/>
        <v/>
      </c>
      <c r="T27" s="65" t="str">
        <f t="shared" si="3"/>
        <v/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 t="str">
        <f t="shared" si="9"/>
        <v/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0</v>
      </c>
      <c r="AE27" s="58">
        <f>COUNTIF($S$7:$T$54,"=" &amp; AB27 &amp; "_lose")</f>
        <v>0</v>
      </c>
      <c r="AF27" s="58">
        <f>SUMIF($E$7:$E$54,$AB27,$F$7:$F$54) + SUMIF($H$7:$H$54,$AB27,$G$7:$G$54)</f>
        <v>0</v>
      </c>
      <c r="AG27" s="58">
        <f>SUMIF($E$7:$E$54,$AB27,$G$7:$G$54) + SUMIF($H$7:$H$54,$AB27,$F$7:$F$54)</f>
        <v>0</v>
      </c>
      <c r="AH27" s="58">
        <f>(AF27-AG27)*100+AK27*10000+AF27</f>
        <v>0</v>
      </c>
      <c r="AI27" s="58">
        <f>AF27-AG27</f>
        <v>0</v>
      </c>
      <c r="AJ27" s="58">
        <f>(AI27-AI31)/AI30</f>
        <v>0</v>
      </c>
      <c r="AK27" s="58">
        <f>AC27*3+AD27</f>
        <v>0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4.55E-4</v>
      </c>
      <c r="AO27" s="60" t="str">
        <f>IF(SUM(AC26:AE29)=12,J28,INDEX(T,77,lang))</f>
        <v>2D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2A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5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/>
      <c r="G28" s="24"/>
      <c r="H28" s="67" t="str">
        <f>AB21</f>
        <v>Australia</v>
      </c>
      <c r="J28" s="72" t="str">
        <f>VLOOKUP(2,AA26:AK29,2,FALSE)</f>
        <v>Croatia</v>
      </c>
      <c r="K28" s="27">
        <f>L28+M28+N28</f>
        <v>0</v>
      </c>
      <c r="L28" s="27">
        <f>VLOOKUP(2,AA26:AK29,3,FALSE)</f>
        <v>0</v>
      </c>
      <c r="M28" s="27">
        <f>VLOOKUP(2,AA26:AK29,4,FALSE)</f>
        <v>0</v>
      </c>
      <c r="N28" s="27">
        <f>VLOOKUP(2,AA26:AK29,5,FALSE)</f>
        <v>0</v>
      </c>
      <c r="O28" s="27" t="str">
        <f>VLOOKUP(2,AA26:AK29,6,FALSE) &amp; " - " &amp; VLOOKUP(2,AA26:AK29,7,FALSE)</f>
        <v>0 - 0</v>
      </c>
      <c r="P28" s="73">
        <f>L28*3+M28</f>
        <v>0</v>
      </c>
      <c r="R28" s="58">
        <f>DATE(2018,6,21)+TIME(1,0,0)+gmt_delta</f>
        <v>43272.5</v>
      </c>
      <c r="S28" s="65" t="str">
        <f t="shared" si="2"/>
        <v/>
      </c>
      <c r="T28" s="65" t="str">
        <f t="shared" si="3"/>
        <v/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 t="str">
        <f t="shared" si="9"/>
        <v/>
      </c>
      <c r="AA28" s="58">
        <f>COUNTIF(AN26:AN29,CONCATENATE("&gt;=",AN28))</f>
        <v>2</v>
      </c>
      <c r="AB28" s="59" t="str">
        <f>VLOOKUP("Croatia",T,lang,FALSE)</f>
        <v>Croatia</v>
      </c>
      <c r="AC28" s="58">
        <f>COUNTIF($S$7:$T$54,"=" &amp; AB28 &amp; "_win")</f>
        <v>0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0</v>
      </c>
      <c r="AG28" s="58">
        <f>SUMIF($E$7:$E$54,$AB28,$G$7:$G$54) + SUMIF($H$7:$H$54,$AB28,$F$7:$F$54)</f>
        <v>0</v>
      </c>
      <c r="AH28" s="58">
        <f>(AF28-AG28)*100+AK28*10000+AF28</f>
        <v>0</v>
      </c>
      <c r="AI28" s="58">
        <f>AF28-AG28</f>
        <v>0</v>
      </c>
      <c r="AJ28" s="58">
        <f>(AI28-AI31)/AI30</f>
        <v>0</v>
      </c>
      <c r="AK28" s="58">
        <f>AC28*3+AD28</f>
        <v>0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5.0900000000000001E-4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5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/>
      <c r="G29" s="24"/>
      <c r="H29" s="67" t="str">
        <f>AB28</f>
        <v>Croatia</v>
      </c>
      <c r="J29" s="72" t="str">
        <f>VLOOKUP(3,AA26:AK29,2,FALSE)</f>
        <v>Iceland</v>
      </c>
      <c r="K29" s="27">
        <f>L29+M29+N29</f>
        <v>0</v>
      </c>
      <c r="L29" s="27">
        <f>VLOOKUP(3,AA26:AK29,3,FALSE)</f>
        <v>0</v>
      </c>
      <c r="M29" s="27">
        <f>VLOOKUP(3,AA26:AK29,4,FALSE)</f>
        <v>0</v>
      </c>
      <c r="N29" s="27">
        <f>VLOOKUP(3,AA26:AK29,5,FALSE)</f>
        <v>0</v>
      </c>
      <c r="O29" s="27" t="str">
        <f>VLOOKUP(3,AA26:AK29,6,FALSE) &amp; " - " &amp; VLOOKUP(3,AA26:AK29,7,FALSE)</f>
        <v>0 - 0</v>
      </c>
      <c r="P29" s="73">
        <f>L29*3+M29</f>
        <v>0</v>
      </c>
      <c r="R29" s="58">
        <f>DATE(2018,6,21)+TIME(7,0,0)+gmt_delta</f>
        <v>43272.75</v>
      </c>
      <c r="S29" s="65" t="str">
        <f t="shared" si="2"/>
        <v/>
      </c>
      <c r="T29" s="65" t="str">
        <f t="shared" si="3"/>
        <v/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 t="str">
        <f t="shared" si="9"/>
        <v/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0</v>
      </c>
      <c r="AE29" s="58">
        <f>COUNTIF($S$7:$T$54,"=" &amp; AB29 &amp; "_lose")</f>
        <v>0</v>
      </c>
      <c r="AF29" s="58">
        <f>SUMIF($E$7:$E$54,$AB29,$F$7:$F$54) + SUMIF($H$7:$H$54,$AB29,$G$7:$G$54)</f>
        <v>0</v>
      </c>
      <c r="AG29" s="58">
        <f>SUMIF($E$7:$E$54,$AB29,$G$7:$G$54) + SUMIF($H$7:$H$54,$AB29,$F$7:$F$54)</f>
        <v>0</v>
      </c>
      <c r="AH29" s="58">
        <f>(AF29-AG29)*100+AK29*10000+AF29</f>
        <v>0</v>
      </c>
      <c r="AI29" s="58">
        <f>AF29-AG29</f>
        <v>0</v>
      </c>
      <c r="AJ29" s="58">
        <f>(AI29-AI31)/AI30</f>
        <v>0</v>
      </c>
      <c r="AK29" s="58">
        <f>AC29*3+AD29</f>
        <v>0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3.2000000000000003E-4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19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5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/>
      <c r="G30" s="24"/>
      <c r="H30" s="67" t="str">
        <f>AB27</f>
        <v>Iceland</v>
      </c>
      <c r="J30" s="74" t="str">
        <f>VLOOKUP(4,AA26:AK29,2,FALSE)</f>
        <v>Nigeria</v>
      </c>
      <c r="K30" s="75">
        <f>L30+M30+N30</f>
        <v>0</v>
      </c>
      <c r="L30" s="75">
        <f>VLOOKUP(4,AA26:AK29,3,FALSE)</f>
        <v>0</v>
      </c>
      <c r="M30" s="75">
        <f>VLOOKUP(4,AA26:AK29,4,FALSE)</f>
        <v>0</v>
      </c>
      <c r="N30" s="75">
        <f>VLOOKUP(4,AA26:AK29,5,FALSE)</f>
        <v>0</v>
      </c>
      <c r="O30" s="75" t="str">
        <f>VLOOKUP(4,AA26:AK29,6,FALSE) &amp; " - " &amp; VLOOKUP(4,AA26:AK29,7,FALSE)</f>
        <v>0 - 0</v>
      </c>
      <c r="P30" s="76">
        <f>L30*3+M30</f>
        <v>0</v>
      </c>
      <c r="R30" s="58">
        <f>DATE(2018,6,22)+TIME(4,0,0)+gmt_delta</f>
        <v>43273.625</v>
      </c>
      <c r="S30" s="65" t="str">
        <f t="shared" si="2"/>
        <v/>
      </c>
      <c r="T30" s="65" t="str">
        <f t="shared" si="3"/>
        <v/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 t="str">
        <f t="shared" si="9"/>
        <v/>
      </c>
      <c r="AC30" s="58">
        <f t="shared" ref="AC30:AL30" si="13">MAX(AC26:AC29)-MIN(AC26:AC29)+1</f>
        <v>1</v>
      </c>
      <c r="AD30" s="58">
        <f t="shared" si="13"/>
        <v>1</v>
      </c>
      <c r="AE30" s="58">
        <f t="shared" si="13"/>
        <v>1</v>
      </c>
      <c r="AF30" s="58">
        <f t="shared" si="13"/>
        <v>1</v>
      </c>
      <c r="AG30" s="58">
        <f t="shared" si="13"/>
        <v>1</v>
      </c>
      <c r="AH30" s="58">
        <f>MAX(AH26:AH29)-AH31+1</f>
        <v>1</v>
      </c>
      <c r="AI30" s="58">
        <f>MAX(AI26:AI29)-AI31+1</f>
        <v>1</v>
      </c>
      <c r="AK30" s="58">
        <f t="shared" si="13"/>
        <v>1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1D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5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/>
      <c r="G31" s="24"/>
      <c r="H31" s="67" t="str">
        <f>AB34</f>
        <v>Costa Rica</v>
      </c>
      <c r="R31" s="58">
        <f>DATE(2018,6,22)+TIME(1,0,0)+gmt_delta</f>
        <v>43273.5</v>
      </c>
      <c r="S31" s="65" t="str">
        <f t="shared" si="2"/>
        <v/>
      </c>
      <c r="T31" s="65" t="str">
        <f t="shared" si="3"/>
        <v/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 t="str">
        <f t="shared" si="9"/>
        <v/>
      </c>
      <c r="AH31" s="58">
        <f>MIN(AH26:AH29)</f>
        <v>0</v>
      </c>
      <c r="AI31" s="58">
        <f>MIN(AI26:AI29)</f>
        <v>0</v>
      </c>
      <c r="AY31" s="119"/>
      <c r="AZ31" s="31" t="str">
        <f>AO21</f>
        <v>2C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25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/>
      <c r="G32" s="24"/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/>
      </c>
      <c r="T32" s="65" t="str">
        <f t="shared" si="3"/>
        <v/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 t="str">
        <f t="shared" si="9"/>
        <v/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0</v>
      </c>
      <c r="AD32" s="58">
        <f>COUNTIF($S$7:$T$54,"=" &amp; AB32 &amp; "_draw")</f>
        <v>0</v>
      </c>
      <c r="AE32" s="58">
        <f>COUNTIF($S$7:$T$54,"=" &amp; AB32 &amp; "_lose")</f>
        <v>0</v>
      </c>
      <c r="AF32" s="58">
        <f>SUMIF($E$7:$E$54,$AB32,$F$7:$F$54) + SUMIF($H$7:$H$54,$AB32,$G$7:$G$54)</f>
        <v>0</v>
      </c>
      <c r="AG32" s="58">
        <f>SUMIF($E$7:$E$54,$AB32,$G$7:$G$54) + SUMIF($H$7:$H$54,$AB32,$F$7:$F$54)</f>
        <v>0</v>
      </c>
      <c r="AH32" s="58">
        <f>(AF32-AG32)*100+AK32*10000+AF32</f>
        <v>0</v>
      </c>
      <c r="AI32" s="58">
        <f>AF32-AG32</f>
        <v>0</v>
      </c>
      <c r="AJ32" s="58">
        <f>(AI32-AI37)/AI36</f>
        <v>0</v>
      </c>
      <c r="AK32" s="58">
        <f>AC32*3+AD32</f>
        <v>0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7.4149999999999997E-4</v>
      </c>
      <c r="AO32" s="60" t="str">
        <f>IF(SUM(AC32:AE35)=12,J33,INDEX(T,78,lang))</f>
        <v>1E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W59</v>
      </c>
      <c r="BM32" s="29"/>
      <c r="BN32" s="30"/>
      <c r="BO32" s="40"/>
      <c r="BP32" s="41"/>
      <c r="BQ32" s="127"/>
      <c r="BR32" s="128"/>
      <c r="BS32" s="128"/>
      <c r="BT32" s="129"/>
    </row>
    <row r="33" spans="1:72" ht="15" customHeight="1" x14ac:dyDescent="0.25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/>
      <c r="G33" s="24"/>
      <c r="H33" s="67" t="str">
        <f>AB40</f>
        <v>Sweden</v>
      </c>
      <c r="J33" s="69" t="str">
        <f>VLOOKUP(1,AA32:AK35,2,FALSE)</f>
        <v>Brazil</v>
      </c>
      <c r="K33" s="70">
        <f>L33+M33+N33</f>
        <v>0</v>
      </c>
      <c r="L33" s="70">
        <f>VLOOKUP(1,AA32:AK35,3,FALSE)</f>
        <v>0</v>
      </c>
      <c r="M33" s="70">
        <f>VLOOKUP(1,AA32:AK35,4,FALSE)</f>
        <v>0</v>
      </c>
      <c r="N33" s="70">
        <f>VLOOKUP(1,AA32:AK35,5,FALSE)</f>
        <v>0</v>
      </c>
      <c r="O33" s="70" t="str">
        <f>VLOOKUP(1,AA32:AK35,6,FALSE) &amp; " - " &amp; VLOOKUP(1,AA32:AK35,7,FALSE)</f>
        <v>0 - 0</v>
      </c>
      <c r="P33" s="71">
        <f>L33*3+M33</f>
        <v>0</v>
      </c>
      <c r="R33" s="58">
        <f>DATE(2018,6,23)+TIME(7,0,0)+gmt_delta</f>
        <v>43274.75</v>
      </c>
      <c r="S33" s="65" t="str">
        <f t="shared" si="2"/>
        <v/>
      </c>
      <c r="T33" s="65" t="str">
        <f t="shared" si="3"/>
        <v/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 t="str">
        <f t="shared" si="9"/>
        <v/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0</v>
      </c>
      <c r="AD33" s="58">
        <f>COUNTIF($S$7:$T$54,"=" &amp; AB33 &amp; "_draw")</f>
        <v>0</v>
      </c>
      <c r="AE33" s="58">
        <f>COUNTIF($S$7:$T$54,"=" &amp; AB33 &amp; "_lose")</f>
        <v>0</v>
      </c>
      <c r="AF33" s="58">
        <f>SUMIF($E$7:$E$54,$AB33,$F$7:$F$54) + SUMIF($H$7:$H$54,$AB33,$G$7:$G$54)</f>
        <v>0</v>
      </c>
      <c r="AG33" s="58">
        <f>SUMIF($E$7:$E$54,$AB33,$G$7:$G$54) + SUMIF($H$7:$H$54,$AB33,$F$7:$F$54)</f>
        <v>0</v>
      </c>
      <c r="AH33" s="58">
        <f>(AF33-AG33)*100+AK33*10000+AF33</f>
        <v>0</v>
      </c>
      <c r="AI33" s="58">
        <f>AF33-AG33</f>
        <v>0</v>
      </c>
      <c r="AJ33" s="58">
        <f>(AI33-AI37)/AI36</f>
        <v>0</v>
      </c>
      <c r="AK33" s="58">
        <f>AC33*3+AD33</f>
        <v>0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5.9500000000000004E-4</v>
      </c>
      <c r="AO33" s="60" t="str">
        <f>IF(SUM(AC32:AE35)=12,J34,INDEX(T,79,lang))</f>
        <v>2E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25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/>
      <c r="G34" s="24"/>
      <c r="H34" s="67" t="str">
        <f>AB39</f>
        <v>Mexico</v>
      </c>
      <c r="J34" s="72" t="str">
        <f>VLOOKUP(2,AA32:AK35,2,FALSE)</f>
        <v>Switzerland</v>
      </c>
      <c r="K34" s="27">
        <f>L34+M34+N34</f>
        <v>0</v>
      </c>
      <c r="L34" s="27">
        <f>VLOOKUP(2,AA32:AK35,3,FALSE)</f>
        <v>0</v>
      </c>
      <c r="M34" s="27">
        <f>VLOOKUP(2,AA32:AK35,4,FALSE)</f>
        <v>0</v>
      </c>
      <c r="N34" s="27">
        <f>VLOOKUP(2,AA32:AK35,5,FALSE)</f>
        <v>0</v>
      </c>
      <c r="O34" s="27" t="str">
        <f>VLOOKUP(2,AA32:AK35,6,FALSE) &amp; " - " &amp; VLOOKUP(2,AA32:AK35,7,FALSE)</f>
        <v>0 - 0</v>
      </c>
      <c r="P34" s="73">
        <f>L34*3+M34</f>
        <v>0</v>
      </c>
      <c r="R34" s="58">
        <f>DATE(2018,6,23)+TIME(4,0,0)+gmt_delta</f>
        <v>43274.625</v>
      </c>
      <c r="S34" s="65" t="str">
        <f t="shared" si="2"/>
        <v/>
      </c>
      <c r="T34" s="65" t="str">
        <f t="shared" si="3"/>
        <v/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 t="str">
        <f t="shared" si="9"/>
        <v/>
      </c>
      <c r="AA34" s="58">
        <f>COUNTIF(AN32:AN35,CONCATENATE("&gt;=",AN34))</f>
        <v>3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0</v>
      </c>
      <c r="AF34" s="58">
        <f>SUMIF($E$7:$E$54,$AB34,$F$7:$F$54) + SUMIF($H$7:$H$54,$AB34,$G$7:$G$54)</f>
        <v>0</v>
      </c>
      <c r="AG34" s="58">
        <f>SUMIF($E$7:$E$54,$AB34,$G$7:$G$54) + SUMIF($H$7:$H$54,$AB34,$F$7:$F$54)</f>
        <v>0</v>
      </c>
      <c r="AH34" s="58">
        <f>(AF34-AG34)*100+AK34*10000+AF34</f>
        <v>0</v>
      </c>
      <c r="AI34" s="58">
        <f>AF34-AG34</f>
        <v>0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4.2499999999999998E-4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1F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25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/>
      <c r="G35" s="24"/>
      <c r="H35" s="67" t="str">
        <f>AB46</f>
        <v>Tunisia</v>
      </c>
      <c r="J35" s="72" t="str">
        <f>VLOOKUP(3,AA32:AK35,2,FALSE)</f>
        <v>Costa Rica</v>
      </c>
      <c r="K35" s="27">
        <f>L35+M35+N35</f>
        <v>0</v>
      </c>
      <c r="L35" s="27">
        <f>VLOOKUP(3,AA32:AK35,3,FALSE)</f>
        <v>0</v>
      </c>
      <c r="M35" s="27">
        <f>VLOOKUP(3,AA32:AK35,4,FALSE)</f>
        <v>0</v>
      </c>
      <c r="N35" s="27">
        <f>VLOOKUP(3,AA32:AK35,5,FALSE)</f>
        <v>0</v>
      </c>
      <c r="O35" s="27" t="str">
        <f>VLOOKUP(3,AA32:AK35,6,FALSE) &amp; " - " &amp; VLOOKUP(3,AA32:AK35,7,FALSE)</f>
        <v>0 - 0</v>
      </c>
      <c r="P35" s="73">
        <f>L35*3+M35</f>
        <v>0</v>
      </c>
      <c r="R35" s="58">
        <f>DATE(2018,6,23)+TIME(1,0,0)+gmt_delta</f>
        <v>43274.5</v>
      </c>
      <c r="S35" s="65" t="str">
        <f t="shared" si="2"/>
        <v/>
      </c>
      <c r="T35" s="65" t="str">
        <f t="shared" si="3"/>
        <v/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 t="str">
        <f t="shared" si="9"/>
        <v/>
      </c>
      <c r="AA35" s="58">
        <f>COUNTIF(AN32:AN35,CONCATENATE("&gt;=",AN35))</f>
        <v>4</v>
      </c>
      <c r="AB35" s="59" t="str">
        <f>VLOOKUP("Serbia",T,lang,FALSE)</f>
        <v>Serbia</v>
      </c>
      <c r="AC35" s="58">
        <f>COUNTIF($S$7:$T$54,"=" &amp; AB35 &amp; "_win")</f>
        <v>0</v>
      </c>
      <c r="AD35" s="58">
        <f>COUNTIF($S$7:$T$54,"=" &amp; AB35 &amp; "_draw")</f>
        <v>0</v>
      </c>
      <c r="AE35" s="58">
        <f>COUNTIF($S$7:$T$54,"=" &amp; AB35 &amp; "_lose")</f>
        <v>0</v>
      </c>
      <c r="AF35" s="58">
        <f>SUMIF($E$7:$E$54,$AB35,$F$7:$F$54) + SUMIF($H$7:$H$54,$AB35,$G$7:$G$54)</f>
        <v>0</v>
      </c>
      <c r="AG35" s="58">
        <f>SUMIF($E$7:$E$54,$AB35,$G$7:$G$54) + SUMIF($H$7:$H$54,$AB35,$F$7:$F$54)</f>
        <v>0</v>
      </c>
      <c r="AH35" s="58">
        <f>(AF35-AG35)*100+AK35*10000+AF35</f>
        <v>0</v>
      </c>
      <c r="AI35" s="58">
        <f>AF35-AG35</f>
        <v>0</v>
      </c>
      <c r="AJ35" s="58">
        <f>(AI35-AI37)/AI36</f>
        <v>0</v>
      </c>
      <c r="AK35" s="58">
        <f>AC35*3+AD35</f>
        <v>0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3.7800000000000003E-4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2E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L61</v>
      </c>
      <c r="BS35" s="29"/>
      <c r="BT35" s="30"/>
    </row>
    <row r="36" spans="1:72" ht="15" customHeight="1" x14ac:dyDescent="0.25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/>
      <c r="G36" s="24"/>
      <c r="H36" s="67" t="str">
        <f>AB45</f>
        <v>Panama</v>
      </c>
      <c r="J36" s="74" t="str">
        <f>VLOOKUP(4,AA32:AK35,2,FALSE)</f>
        <v>Serbia</v>
      </c>
      <c r="K36" s="75">
        <f>L36+M36+N36</f>
        <v>0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0</v>
      </c>
      <c r="O36" s="75" t="str">
        <f>VLOOKUP(4,AA32:AK35,6,FALSE) &amp; " - " &amp; VLOOKUP(4,AA32:AK35,7,FALSE)</f>
        <v>0 - 0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/>
      </c>
      <c r="T36" s="65" t="str">
        <f t="shared" si="3"/>
        <v/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 t="str">
        <f t="shared" si="9"/>
        <v/>
      </c>
      <c r="AC36" s="58">
        <f t="shared" ref="AC36:AL36" si="14">MAX(AC32:AC35)-MIN(AC32:AC35)+1</f>
        <v>1</v>
      </c>
      <c r="AD36" s="58">
        <f t="shared" si="14"/>
        <v>1</v>
      </c>
      <c r="AE36" s="58">
        <f t="shared" si="14"/>
        <v>1</v>
      </c>
      <c r="AF36" s="58">
        <f t="shared" si="14"/>
        <v>1</v>
      </c>
      <c r="AG36" s="58">
        <f t="shared" si="14"/>
        <v>1</v>
      </c>
      <c r="AH36" s="58">
        <f>MAX(AH32:AH35)-AH37+1</f>
        <v>1</v>
      </c>
      <c r="AI36" s="58">
        <f>MAX(AI32:AI35)-AI37+1</f>
        <v>1</v>
      </c>
      <c r="AK36" s="58">
        <f t="shared" si="14"/>
        <v>1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L62</v>
      </c>
      <c r="BS36" s="32"/>
      <c r="BT36" s="33"/>
    </row>
    <row r="37" spans="1:72" ht="15" customHeight="1" x14ac:dyDescent="0.25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/>
      <c r="G37" s="24"/>
      <c r="H37" s="67" t="str">
        <f>AB52</f>
        <v>Colombia</v>
      </c>
      <c r="R37" s="58">
        <f>DATE(2018,6,24)+TIME(7,0,0)+gmt_delta</f>
        <v>43275.75</v>
      </c>
      <c r="S37" s="65" t="str">
        <f t="shared" si="2"/>
        <v/>
      </c>
      <c r="T37" s="65" t="str">
        <f t="shared" si="3"/>
        <v/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 t="str">
        <f t="shared" si="9"/>
        <v/>
      </c>
      <c r="AH37" s="58">
        <f>MIN(AH32:AH35)</f>
        <v>0</v>
      </c>
      <c r="AI37" s="58">
        <f>MIN(AI32:AI35)</f>
        <v>0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19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5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/>
      <c r="G38" s="24"/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/>
      </c>
      <c r="T38" s="65" t="str">
        <f t="shared" si="3"/>
        <v/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 t="str">
        <f t="shared" si="9"/>
        <v/>
      </c>
      <c r="AA38" s="58">
        <f>COUNTIF(AN38:AN41,CONCATENATE("&gt;=",AN38))</f>
        <v>1</v>
      </c>
      <c r="AB38" s="59" t="str">
        <f>VLOOKUP("Germany",T,lang,FALSE)</f>
        <v>Germany</v>
      </c>
      <c r="AC38" s="58">
        <f>COUNTIF($S$7:$T$54,"=" &amp; AB38 &amp; "_win")</f>
        <v>0</v>
      </c>
      <c r="AD38" s="58">
        <f>COUNTIF($S$7:$T$54,"=" &amp; AB38 &amp; "_draw")</f>
        <v>0</v>
      </c>
      <c r="AE38" s="58">
        <f>COUNTIF($S$7:$T$54,"=" &amp; AB38 &amp; "_lose")</f>
        <v>0</v>
      </c>
      <c r="AF38" s="58">
        <f>SUMIF($E$7:$E$54,$AB38,$F$7:$F$54) + SUMIF($H$7:$H$54,$AB38,$G$7:$G$54)</f>
        <v>0</v>
      </c>
      <c r="AG38" s="58">
        <f>SUMIF($E$7:$E$54,$AB38,$G$7:$G$54) + SUMIF($H$7:$H$54,$AB38,$F$7:$F$54)</f>
        <v>0</v>
      </c>
      <c r="AH38" s="58">
        <f>(AF38-AG38)*100+AK38*10000+AF38</f>
        <v>0</v>
      </c>
      <c r="AI38" s="58">
        <f>AF38-AG38</f>
        <v>0</v>
      </c>
      <c r="AJ38" s="58">
        <f>(AI38-AI43)/AI42</f>
        <v>0</v>
      </c>
      <c r="AK38" s="58">
        <f>AC38*3+AD38</f>
        <v>0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8.0099999999999995E-4</v>
      </c>
      <c r="AO38" s="60" t="str">
        <f>IF(SUM(AC38:AE41)=12,J39,INDEX(T,80,lang))</f>
        <v>1F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5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/>
      <c r="G39" s="24"/>
      <c r="H39" s="67" t="str">
        <f>AB8</f>
        <v>Russia</v>
      </c>
      <c r="J39" s="69" t="str">
        <f>VLOOKUP(1,AA38:AK41,2,FALSE)</f>
        <v>Germany</v>
      </c>
      <c r="K39" s="70">
        <f>L39+M39+N39</f>
        <v>0</v>
      </c>
      <c r="L39" s="70">
        <f>VLOOKUP(1,AA38:AK41,3,FALSE)</f>
        <v>0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0 - 0</v>
      </c>
      <c r="P39" s="71">
        <f>L39*3+M39</f>
        <v>0</v>
      </c>
      <c r="R39" s="58">
        <f>DATE(2018,6,25)+TIME(3,0,0)+gmt_delta</f>
        <v>43276.583333333336</v>
      </c>
      <c r="S39" s="65" t="str">
        <f t="shared" si="2"/>
        <v/>
      </c>
      <c r="T39" s="65" t="str">
        <f t="shared" si="3"/>
        <v/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 t="str">
        <f t="shared" si="9"/>
        <v/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0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0</v>
      </c>
      <c r="AG39" s="58">
        <f>SUMIF($E$7:$E$54,$AB39,$G$7:$G$54) + SUMIF($H$7:$H$54,$AB39,$F$7:$F$54)</f>
        <v>0</v>
      </c>
      <c r="AH39" s="58">
        <f>(AF39-AG39)*100+AK39*10000+AF39</f>
        <v>0</v>
      </c>
      <c r="AI39" s="58">
        <f>AF39-AG39</f>
        <v>0</v>
      </c>
      <c r="AJ39" s="58">
        <f>(AI39-AI43)/AI42</f>
        <v>0</v>
      </c>
      <c r="AK39" s="58">
        <f>AC39*3+AD39</f>
        <v>0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5.1599999999999997E-4</v>
      </c>
      <c r="AO39" s="60" t="str">
        <f>IF(SUM(AC38:AE41)=12,J40,INDEX(T,81,lang))</f>
        <v>2F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/>
      <c r="G40" s="24"/>
      <c r="H40" s="67" t="str">
        <f>AB10</f>
        <v>Egypt</v>
      </c>
      <c r="J40" s="72" t="str">
        <f>VLOOKUP(2,AA38:AK41,2,FALSE)</f>
        <v>Mexico</v>
      </c>
      <c r="K40" s="27">
        <f>L40+M40+N40</f>
        <v>0</v>
      </c>
      <c r="L40" s="27">
        <f>VLOOKUP(2,AA38:AK41,3,FALSE)</f>
        <v>0</v>
      </c>
      <c r="M40" s="27">
        <f>VLOOKUP(2,AA38:AK41,4,FALSE)</f>
        <v>0</v>
      </c>
      <c r="N40" s="27">
        <f>VLOOKUP(2,AA38:AK41,5,FALSE)</f>
        <v>0</v>
      </c>
      <c r="O40" s="27" t="str">
        <f>VLOOKUP(2,AA38:AK41,6,FALSE) &amp; " - " &amp; VLOOKUP(2,AA38:AK41,7,FALSE)</f>
        <v>0 - 0</v>
      </c>
      <c r="P40" s="73">
        <f>L40*3+M40</f>
        <v>0</v>
      </c>
      <c r="R40" s="58">
        <f>DATE(2018,6,25)+TIME(3,0,0)+gmt_delta</f>
        <v>43276.583333333336</v>
      </c>
      <c r="S40" s="65" t="str">
        <f t="shared" si="2"/>
        <v/>
      </c>
      <c r="T40" s="65" t="str">
        <f t="shared" si="3"/>
        <v/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 t="str">
        <f t="shared" si="9"/>
        <v/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0</v>
      </c>
      <c r="AD40" s="58">
        <f>COUNTIF($S$7:$T$54,"=" &amp; AB40 &amp; "_draw")</f>
        <v>0</v>
      </c>
      <c r="AE40" s="58">
        <f>COUNTIF($S$7:$T$54,"=" &amp; AB40 &amp; "_lose")</f>
        <v>0</v>
      </c>
      <c r="AF40" s="58">
        <f>SUMIF($E$7:$E$54,$AB40,$F$7:$F$54) + SUMIF($H$7:$H$54,$AB40,$G$7:$G$54)</f>
        <v>0</v>
      </c>
      <c r="AG40" s="58">
        <f>SUMIF($E$7:$E$54,$AB40,$G$7:$G$54) + SUMIF($H$7:$H$54,$AB40,$F$7:$F$54)</f>
        <v>0</v>
      </c>
      <c r="AH40" s="58">
        <f>(AF40-AG40)*100+AK40*10000+AF40</f>
        <v>0</v>
      </c>
      <c r="AI40" s="58">
        <f>AF40-AG40</f>
        <v>0</v>
      </c>
      <c r="AJ40" s="58">
        <f>(AI40-AI43)/AI42</f>
        <v>0</v>
      </c>
      <c r="AK40" s="58">
        <f>AC40*3+AD40</f>
        <v>0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4.9899999999999999E-4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5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/>
      <c r="G41" s="24"/>
      <c r="H41" s="67" t="str">
        <f>AB14</f>
        <v>Portugal</v>
      </c>
      <c r="J41" s="72" t="str">
        <f>VLOOKUP(3,AA38:AK41,2,FALSE)</f>
        <v>Sweden</v>
      </c>
      <c r="K41" s="27">
        <f>L41+M41+N41</f>
        <v>0</v>
      </c>
      <c r="L41" s="27">
        <f>VLOOKUP(3,AA38:AK41,3,FALSE)</f>
        <v>0</v>
      </c>
      <c r="M41" s="27">
        <f>VLOOKUP(3,AA38:AK41,4,FALSE)</f>
        <v>0</v>
      </c>
      <c r="N41" s="27">
        <f>VLOOKUP(3,AA38:AK41,5,FALSE)</f>
        <v>0</v>
      </c>
      <c r="O41" s="27" t="str">
        <f>VLOOKUP(3,AA38:AK41,6,FALSE) &amp; " - " &amp; VLOOKUP(3,AA38:AK41,7,FALSE)</f>
        <v>0 - 0</v>
      </c>
      <c r="P41" s="73">
        <f>L41*3+M41</f>
        <v>0</v>
      </c>
      <c r="R41" s="58">
        <f>DATE(2018,6,25)+TIME(7,0,0)+gmt_delta</f>
        <v>43276.75</v>
      </c>
      <c r="S41" s="65" t="str">
        <f t="shared" si="2"/>
        <v/>
      </c>
      <c r="T41" s="65" t="str">
        <f t="shared" si="3"/>
        <v/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 t="str">
        <f t="shared" si="9"/>
        <v/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0</v>
      </c>
      <c r="AF41" s="58">
        <f>SUMIF($E$7:$E$54,$AB41,$F$7:$F$54) + SUMIF($H$7:$H$54,$AB41,$G$7:$G$54)</f>
        <v>0</v>
      </c>
      <c r="AG41" s="58">
        <f>SUMIF($E$7:$E$54,$AB41,$G$7:$G$54) + SUMIF($H$7:$H$54,$AB41,$F$7:$F$54)</f>
        <v>0</v>
      </c>
      <c r="AH41" s="58">
        <f>(AF41-AG41)*100+AK41*10000+AF41</f>
        <v>0</v>
      </c>
      <c r="AI41" s="58">
        <f>AF41-AG41</f>
        <v>0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2.8499999999999999E-4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/>
      </c>
      <c r="BP41" s="122"/>
      <c r="BQ41" s="122"/>
      <c r="BR41" s="122"/>
      <c r="BS41" s="122"/>
      <c r="BT41" s="122"/>
    </row>
    <row r="42" spans="1:72" ht="15" customHeight="1" x14ac:dyDescent="0.25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/>
      <c r="G42" s="24"/>
      <c r="H42" s="67" t="str">
        <f>AB16</f>
        <v>Morocco</v>
      </c>
      <c r="J42" s="74" t="str">
        <f>VLOOKUP(4,AA38:AK41,2,FALSE)</f>
        <v>Korea Republic</v>
      </c>
      <c r="K42" s="75">
        <f>L42+M42+N42</f>
        <v>0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0</v>
      </c>
      <c r="O42" s="75" t="str">
        <f>VLOOKUP(4,AA38:AK41,6,FALSE) &amp; " - " &amp; VLOOKUP(4,AA38:AK41,7,FALSE)</f>
        <v>0 - 0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/>
      </c>
      <c r="T42" s="65" t="str">
        <f t="shared" si="3"/>
        <v/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 t="str">
        <f t="shared" si="9"/>
        <v/>
      </c>
      <c r="AC42" s="58">
        <f t="shared" ref="AC42:AL42" si="15">MAX(AC38:AC41)-MIN(AC38:AC41)+1</f>
        <v>1</v>
      </c>
      <c r="AD42" s="58">
        <f t="shared" si="15"/>
        <v>1</v>
      </c>
      <c r="AE42" s="58">
        <f t="shared" si="15"/>
        <v>1</v>
      </c>
      <c r="AF42" s="58">
        <f t="shared" si="15"/>
        <v>1</v>
      </c>
      <c r="AG42" s="58">
        <f t="shared" si="15"/>
        <v>1</v>
      </c>
      <c r="AH42" s="58">
        <f>MAX(AH38:AH41)-AH43+1</f>
        <v>1</v>
      </c>
      <c r="AI42" s="58">
        <f>MAX(AI38:AI41)-AI43+1</f>
        <v>1</v>
      </c>
      <c r="AK42" s="58">
        <f t="shared" si="15"/>
        <v>1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25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/>
      <c r="G43" s="24"/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/>
      </c>
      <c r="T43" s="65" t="str">
        <f t="shared" si="3"/>
        <v/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 t="str">
        <f t="shared" si="9"/>
        <v/>
      </c>
      <c r="AH43" s="58">
        <f>MIN(AH38:AH41)</f>
        <v>0</v>
      </c>
      <c r="AI43" s="58">
        <f>MIN(AI38:AI41)</f>
        <v>0</v>
      </c>
      <c r="AY43" s="80"/>
    </row>
    <row r="44" spans="1:72" ht="15" customHeight="1" x14ac:dyDescent="0.25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/>
      <c r="G44" s="24"/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/>
      </c>
      <c r="T44" s="65" t="str">
        <f t="shared" si="3"/>
        <v/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 t="str">
        <f t="shared" si="9"/>
        <v/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0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0</v>
      </c>
      <c r="AG44" s="58">
        <f>SUMIF($E$7:$E$54,$AB44,$G$7:$G$54) + SUMIF($H$7:$H$54,$AB44,$F$7:$F$54)</f>
        <v>0</v>
      </c>
      <c r="AH44" s="58">
        <f>(AF44-AG44)*100+AK44*10000+AF44</f>
        <v>0</v>
      </c>
      <c r="AI44" s="58">
        <f>AF44-AG44</f>
        <v>0</v>
      </c>
      <c r="AJ44" s="58">
        <f>(AI44-AI49)/AI48</f>
        <v>0</v>
      </c>
      <c r="AK44" s="58">
        <f>AC44*3+AD44</f>
        <v>0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6.625E-4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5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/>
      <c r="G45" s="24"/>
      <c r="H45" s="67" t="str">
        <f>AB26</f>
        <v>Argentina</v>
      </c>
      <c r="J45" s="69" t="str">
        <f>VLOOKUP(1,AA44:AK47,2,FALSE)</f>
        <v>Belgium</v>
      </c>
      <c r="K45" s="70">
        <f>L45+M45+N45</f>
        <v>0</v>
      </c>
      <c r="L45" s="70">
        <f>VLOOKUP(1,AA44:AK47,3,FALSE)</f>
        <v>0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0 - 0</v>
      </c>
      <c r="P45" s="71">
        <f>L45*3+M45</f>
        <v>0</v>
      </c>
      <c r="R45" s="58">
        <f>DATE(2018,6,26)+TIME(7,0,0)+gmt_delta</f>
        <v>43277.75</v>
      </c>
      <c r="S45" s="65" t="str">
        <f t="shared" si="2"/>
        <v/>
      </c>
      <c r="T45" s="65" t="str">
        <f t="shared" si="3"/>
        <v/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 t="str">
        <f t="shared" si="9"/>
        <v/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0</v>
      </c>
      <c r="AF45" s="58">
        <f>SUMIF($E$7:$E$54,$AB45,$F$7:$F$54) + SUMIF($H$7:$H$54,$AB45,$G$7:$G$54)</f>
        <v>0</v>
      </c>
      <c r="AG45" s="58">
        <f>SUMIF($E$7:$E$54,$AB45,$G$7:$G$54) + SUMIF($H$7:$H$54,$AB45,$F$7:$F$54)</f>
        <v>0</v>
      </c>
      <c r="AH45" s="58">
        <f>(AF45-AG45)*100+AK45*10000+AF45</f>
        <v>0</v>
      </c>
      <c r="AI45" s="58">
        <f>AF45-AG45</f>
        <v>0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3.1050000000000001E-4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5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/>
      <c r="G46" s="24"/>
      <c r="H46" s="67" t="str">
        <f>AB28</f>
        <v>Croatia</v>
      </c>
      <c r="J46" s="72" t="str">
        <f>VLOOKUP(2,AA44:AK47,2,FALSE)</f>
        <v>England</v>
      </c>
      <c r="K46" s="27">
        <f>L46+M46+N46</f>
        <v>0</v>
      </c>
      <c r="L46" s="27">
        <f>VLOOKUP(2,AA44:AK47,3,FALSE)</f>
        <v>0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0 - 0</v>
      </c>
      <c r="P46" s="73">
        <f>L46*3+M46</f>
        <v>0</v>
      </c>
      <c r="R46" s="58">
        <f>DATE(2018,6,26)+TIME(7,0,0)+gmt_delta</f>
        <v>43277.75</v>
      </c>
      <c r="S46" s="65" t="str">
        <f t="shared" si="2"/>
        <v/>
      </c>
      <c r="T46" s="65" t="str">
        <f t="shared" si="3"/>
        <v/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 t="str">
        <f t="shared" si="9"/>
        <v/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0</v>
      </c>
      <c r="AF46" s="58">
        <f>SUMIF($E$7:$E$54,$AB46,$F$7:$F$54) + SUMIF($H$7:$H$54,$AB46,$G$7:$G$54)</f>
        <v>0</v>
      </c>
      <c r="AG46" s="58">
        <f>SUMIF($E$7:$E$54,$AB46,$G$7:$G$54) + SUMIF($H$7:$H$54,$AB46,$F$7:$F$54)</f>
        <v>0</v>
      </c>
      <c r="AH46" s="58">
        <f>(AF46-AG46)*100+AK46*10000+AF46</f>
        <v>0</v>
      </c>
      <c r="AI46" s="58">
        <f>AF46-AG46</f>
        <v>0</v>
      </c>
      <c r="AJ46" s="58">
        <f>(AI46-AI49)/AI48</f>
        <v>0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4.1899999999999999E-4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25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/>
      <c r="G47" s="24"/>
      <c r="H47" s="67" t="str">
        <f>AB32</f>
        <v>Brazil</v>
      </c>
      <c r="J47" s="72" t="str">
        <f>VLOOKUP(3,AA44:AK47,2,FALSE)</f>
        <v>Tunisia</v>
      </c>
      <c r="K47" s="27">
        <f>L47+M47+N47</f>
        <v>0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0</v>
      </c>
      <c r="O47" s="27" t="str">
        <f>VLOOKUP(3,AA44:AK47,6,FALSE) &amp; " - " &amp; VLOOKUP(3,AA44:AK47,7,FALSE)</f>
        <v>0 - 0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/>
      </c>
      <c r="T47" s="65" t="str">
        <f t="shared" si="3"/>
        <v/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 t="str">
        <f t="shared" si="9"/>
        <v/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0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0</v>
      </c>
      <c r="AG47" s="58">
        <f>SUMIF($E$7:$E$54,$AB47,$G$7:$G$54) + SUMIF($H$7:$H$54,$AB47,$F$7:$F$54)</f>
        <v>0</v>
      </c>
      <c r="AH47" s="58">
        <f>(AF47-AG47)*100+AK47*10000+AF47</f>
        <v>0</v>
      </c>
      <c r="AI47" s="58">
        <f>AF47-AG47</f>
        <v>0</v>
      </c>
      <c r="AJ47" s="58">
        <f>(AI47-AI49)/AI48</f>
        <v>0</v>
      </c>
      <c r="AK47" s="58">
        <f>AC47*3+AD47</f>
        <v>0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5.2349999999999999E-4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25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/>
      <c r="G48" s="24"/>
      <c r="H48" s="67" t="str">
        <f>AB34</f>
        <v>Costa Rica</v>
      </c>
      <c r="J48" s="74" t="str">
        <f>VLOOKUP(4,AA44:AK47,2,FALSE)</f>
        <v>Panama</v>
      </c>
      <c r="K48" s="75">
        <f>L48+M48+N48</f>
        <v>0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0</v>
      </c>
      <c r="O48" s="75" t="str">
        <f>VLOOKUP(4,AA44:AK47,6,FALSE) &amp; " - " &amp; VLOOKUP(4,AA44:AK47,7,FALSE)</f>
        <v>0 - 0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/>
      </c>
      <c r="T48" s="65" t="str">
        <f t="shared" si="3"/>
        <v/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 t="str">
        <f t="shared" si="9"/>
        <v/>
      </c>
      <c r="AC48" s="58">
        <f t="shared" ref="AC48:AL48" si="16">MAX(AC44:AC47)-MIN(AC44:AC47)+1</f>
        <v>1</v>
      </c>
      <c r="AD48" s="58">
        <f t="shared" si="16"/>
        <v>1</v>
      </c>
      <c r="AE48" s="58">
        <f t="shared" si="16"/>
        <v>1</v>
      </c>
      <c r="AF48" s="58">
        <f t="shared" si="16"/>
        <v>1</v>
      </c>
      <c r="AG48" s="58">
        <f t="shared" si="16"/>
        <v>1</v>
      </c>
      <c r="AH48" s="58">
        <f>MAX(AH44:AH47)-AH49+1</f>
        <v>1</v>
      </c>
      <c r="AI48" s="58">
        <f>MAX(AI44:AI47)-AI49+1</f>
        <v>1</v>
      </c>
      <c r="AK48" s="58">
        <f t="shared" si="16"/>
        <v>1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25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/>
      <c r="G49" s="24"/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/>
      </c>
      <c r="T49" s="65" t="str">
        <f t="shared" si="3"/>
        <v/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 t="str">
        <f t="shared" si="9"/>
        <v/>
      </c>
      <c r="AH49" s="58">
        <f>MIN(AH44:AH47)</f>
        <v>0</v>
      </c>
      <c r="AI49" s="58">
        <f>MIN(AI44:AI47)</f>
        <v>0</v>
      </c>
      <c r="AY49" s="112"/>
      <c r="AZ49" s="113"/>
      <c r="BA49" s="113"/>
      <c r="BB49" s="114"/>
    </row>
    <row r="50" spans="1:54" ht="15" customHeight="1" x14ac:dyDescent="0.25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/>
      <c r="G50" s="24"/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/>
      </c>
      <c r="T50" s="65" t="str">
        <f t="shared" si="3"/>
        <v/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 t="str">
        <f t="shared" si="9"/>
        <v/>
      </c>
      <c r="AA50" s="58">
        <f>COUNTIF(AN50:AN53,CONCATENATE("&gt;=",AN50))</f>
        <v>1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0</v>
      </c>
      <c r="AF50" s="58">
        <f>SUMIF($E$7:$E$54,$AB50,$F$7:$F$54) + SUMIF($H$7:$H$54,$AB50,$G$7:$G$54)</f>
        <v>0</v>
      </c>
      <c r="AG50" s="58">
        <f>SUMIF($E$7:$E$54,$AB50,$G$7:$G$54) + SUMIF($H$7:$H$54,$AB50,$F$7:$F$54)</f>
        <v>0</v>
      </c>
      <c r="AH50" s="58">
        <f>(AF50-AG50)*100+AK50*10000+AF50</f>
        <v>0</v>
      </c>
      <c r="AI50" s="58">
        <f>AF50-AG50</f>
        <v>0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6.045E-4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25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Poland</v>
      </c>
      <c r="K51" s="70">
        <f>L51+M51+N51</f>
        <v>0</v>
      </c>
      <c r="L51" s="70">
        <f>VLOOKUP(1,AA50:AK53,3,FALSE)</f>
        <v>0</v>
      </c>
      <c r="M51" s="70">
        <f>VLOOKUP(1,AA50:AK53,4,FALSE)</f>
        <v>0</v>
      </c>
      <c r="N51" s="70">
        <f>VLOOKUP(1,AA50:AK53,5,FALSE)</f>
        <v>0</v>
      </c>
      <c r="O51" s="70" t="str">
        <f>VLOOKUP(1,AA50:AK53,6,FALSE) &amp; " - " &amp; VLOOKUP(1,AA50:AK53,7,FALSE)</f>
        <v>0 - 0</v>
      </c>
      <c r="P51" s="71">
        <f>L51*3+M51</f>
        <v>0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0</v>
      </c>
      <c r="AD51" s="58">
        <f>COUNTIF($S$7:$T$54,"=" &amp; AB51 &amp; "_draw")</f>
        <v>0</v>
      </c>
      <c r="AE51" s="58">
        <f>COUNTIF($S$7:$T$54,"=" &amp; AB51 &amp; "_lose")</f>
        <v>0</v>
      </c>
      <c r="AF51" s="58">
        <f>SUMIF($E$7:$E$54,$AB51,$F$7:$F$54) + SUMIF($H$7:$H$54,$AB51,$G$7:$G$54)</f>
        <v>0</v>
      </c>
      <c r="AG51" s="58">
        <f>SUMIF($E$7:$E$54,$AB51,$G$7:$G$54) + SUMIF($H$7:$H$54,$AB51,$F$7:$F$54)</f>
        <v>0</v>
      </c>
      <c r="AH51" s="58">
        <f>(AF51-AG51)*100+AK51*10000+AF51</f>
        <v>0</v>
      </c>
      <c r="AI51" s="58">
        <f>AF51-AG51</f>
        <v>0</v>
      </c>
      <c r="AJ51" s="58">
        <f>(AI51-AI55)/AI54</f>
        <v>0</v>
      </c>
      <c r="AK51" s="58">
        <f>AC51*3+AD51</f>
        <v>0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4.4200000000000001E-4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25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Colombia</v>
      </c>
      <c r="K52" s="27">
        <f>L52+M52+N52</f>
        <v>0</v>
      </c>
      <c r="L52" s="27">
        <f>VLOOKUP(2,AA50:AK53,3,FALSE)</f>
        <v>0</v>
      </c>
      <c r="M52" s="27">
        <f>VLOOKUP(2,AA50:AK53,4,FALSE)</f>
        <v>0</v>
      </c>
      <c r="N52" s="27">
        <f>VLOOKUP(2,AA50:AK53,5,FALSE)</f>
        <v>0</v>
      </c>
      <c r="O52" s="27" t="str">
        <f>VLOOKUP(2,AA50:AK53,6,FALSE) &amp; " - " &amp; VLOOKUP(2,AA50:AK53,7,FALSE)</f>
        <v>0 - 0</v>
      </c>
      <c r="P52" s="73">
        <f>L52*3+M52</f>
        <v>0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2</v>
      </c>
      <c r="AB52" s="59" t="str">
        <f>VLOOKUP("Colombia",T,lang,FALSE)</f>
        <v>Colombia</v>
      </c>
      <c r="AC52" s="58">
        <f>COUNTIF($S$7:$T$54,"=" &amp; AB52 &amp; "_win")</f>
        <v>0</v>
      </c>
      <c r="AD52" s="58">
        <f>COUNTIF($S$7:$T$54,"=" &amp; AB52 &amp; "_draw")</f>
        <v>0</v>
      </c>
      <c r="AE52" s="58">
        <f>COUNTIF($S$7:$T$54,"=" &amp; AB52 &amp; "_lose")</f>
        <v>0</v>
      </c>
      <c r="AF52" s="58">
        <f>SUMIF($E$7:$E$54,$AB52,$F$7:$F$54) + SUMIF($H$7:$H$54,$AB52,$G$7:$G$54)</f>
        <v>0</v>
      </c>
      <c r="AG52" s="58">
        <f>SUMIF($E$7:$E$54,$AB52,$G$7:$G$54) + SUMIF($H$7:$H$54,$AB52,$F$7:$F$54)</f>
        <v>0</v>
      </c>
      <c r="AH52" s="58">
        <f>(AF52-AG52)*100+AK52*10000+AF52</f>
        <v>0</v>
      </c>
      <c r="AI52" s="58">
        <f>AF52-AG52</f>
        <v>0</v>
      </c>
      <c r="AJ52" s="58">
        <f>(AI52-AI55)/AI54</f>
        <v>0</v>
      </c>
      <c r="AK52" s="58">
        <f>AC52*3+AD52</f>
        <v>0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5.3899999999999998E-4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25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Senegal</v>
      </c>
      <c r="K53" s="27">
        <f>L53+M53+N53</f>
        <v>0</v>
      </c>
      <c r="L53" s="27">
        <f>VLOOKUP(3,AA50:AK53,3,FALSE)</f>
        <v>0</v>
      </c>
      <c r="M53" s="27">
        <f>VLOOKUP(3,AA50:AK53,4,FALSE)</f>
        <v>0</v>
      </c>
      <c r="N53" s="27">
        <f>VLOOKUP(3,AA50:AK53,5,FALSE)</f>
        <v>0</v>
      </c>
      <c r="O53" s="27" t="str">
        <f>VLOOKUP(3,AA50:AK53,6,FALSE) &amp; " - " &amp; VLOOKUP(3,AA50:AK53,7,FALSE)</f>
        <v>0 - 0</v>
      </c>
      <c r="P53" s="73">
        <f>L53*3+M53</f>
        <v>0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4</v>
      </c>
      <c r="AB53" s="59" t="str">
        <f>VLOOKUP("Japan",T,lang,FALSE)</f>
        <v>Japan</v>
      </c>
      <c r="AC53" s="58">
        <f>COUNTIF($S$7:$T$54,"=" &amp; AB53 &amp; "_win")</f>
        <v>0</v>
      </c>
      <c r="AD53" s="58">
        <f>COUNTIF($S$7:$T$54,"=" &amp; AB53 &amp; "_draw")</f>
        <v>0</v>
      </c>
      <c r="AE53" s="58">
        <f>COUNTIF($S$7:$T$54,"=" &amp; AB53 &amp; "_lose")</f>
        <v>0</v>
      </c>
      <c r="AF53" s="58">
        <f>SUMIF($E$7:$E$54,$AB53,$F$7:$F$54) + SUMIF($H$7:$H$54,$AB53,$G$7:$G$54)</f>
        <v>0</v>
      </c>
      <c r="AG53" s="58">
        <f>SUMIF($E$7:$E$54,$AB53,$G$7:$G$54) + SUMIF($H$7:$H$54,$AB53,$F$7:$F$54)</f>
        <v>0</v>
      </c>
      <c r="AH53" s="58">
        <f>(AF53-AG53)*100+AK53*10000+AF53</f>
        <v>0</v>
      </c>
      <c r="AI53" s="58">
        <f>AF53-AG53</f>
        <v>0</v>
      </c>
      <c r="AJ53" s="58">
        <f>(AI53-AI55)/AI54</f>
        <v>0</v>
      </c>
      <c r="AK53" s="58">
        <f>AC53*3+AD53</f>
        <v>0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2.9999999999999997E-4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5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Japan</v>
      </c>
      <c r="K54" s="75">
        <f>L54+M54+N54</f>
        <v>0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0</v>
      </c>
      <c r="O54" s="75" t="str">
        <f>VLOOKUP(4,AA50:AK53,6,FALSE) &amp; " - " &amp; VLOOKUP(4,AA50:AK53,7,FALSE)</f>
        <v>0 - 0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1</v>
      </c>
      <c r="AD54" s="58">
        <f t="shared" si="17"/>
        <v>1</v>
      </c>
      <c r="AE54" s="58">
        <f t="shared" si="17"/>
        <v>1</v>
      </c>
      <c r="AF54" s="58">
        <f t="shared" si="17"/>
        <v>1</v>
      </c>
      <c r="AG54" s="58">
        <f t="shared" si="17"/>
        <v>1</v>
      </c>
      <c r="AH54" s="58">
        <f>MAX(AH50:AH53)-AH55+1</f>
        <v>1</v>
      </c>
      <c r="AI54" s="58">
        <f>MAX(AI50:AI53)-AI55+1</f>
        <v>1</v>
      </c>
      <c r="AK54" s="58">
        <f t="shared" si="17"/>
        <v>1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5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0</v>
      </c>
      <c r="AI55" s="58">
        <f>MIN(AI50:AI53)</f>
        <v>0</v>
      </c>
    </row>
    <row r="56" spans="1:54" ht="12.75" customHeight="1" x14ac:dyDescent="0.25"/>
    <row r="57" spans="1:54" ht="12.75" customHeight="1" x14ac:dyDescent="0.25"/>
    <row r="58" spans="1:54" x14ac:dyDescent="0.25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25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25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25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25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25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25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25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25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25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25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25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5DC19248-CA97-4A65-901D-902A8CFD1871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C7F7E835-588F-4CFE-8B58-3E549F511EDD}">
      <formula1>"0,1,2,3,4,5,6,7,8,9"</formula1>
    </dataValidation>
  </dataValidations>
  <hyperlinks>
    <hyperlink ref="O3" location="Settings!C4" tooltip="Settings" display="Settings!C4" xr:uid="{B7D43826-7A10-4B1F-B7E9-9C5EA92B5AE3}"/>
    <hyperlink ref="J5:P5" r:id="rId1" tooltip="Excel Schedule" display="Home Page: www.excely.com" xr:uid="{F1B16304-7A83-4C19-8499-62AB6ADF14F7}"/>
    <hyperlink ref="J5:P6" r:id="rId2" tooltip="World Cup 2018 Schedule in Excel" display="Home Page: www.excely.com" xr:uid="{C5C0CB06-50F0-4DD5-AAB0-434A0F623240}"/>
    <hyperlink ref="AY46:BB52" r:id="rId3" tooltip="FIFA World Cup Historical Data 1930 - 2014" display="http://www.excely.com/football/fifa-world-cup-statistics.shtml" xr:uid="{3D7E925C-71F7-4395-AF7F-647ABF98F356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Denys</cp:lastModifiedBy>
  <cp:lastPrinted>2018-01-03T15:36:04Z</cp:lastPrinted>
  <dcterms:created xsi:type="dcterms:W3CDTF">2017-12-27T19:32:51Z</dcterms:created>
  <dcterms:modified xsi:type="dcterms:W3CDTF">2018-06-09T12:11:35Z</dcterms:modified>
</cp:coreProperties>
</file>