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i/Desktop/"/>
    </mc:Choice>
  </mc:AlternateContent>
  <xr:revisionPtr revIDLastSave="0" documentId="10_ncr:8100000_{7198C604-E0C0-2A4A-AD8D-1FC0FE93F353}" xr6:coauthVersionLast="32" xr6:coauthVersionMax="33" xr10:uidLastSave="{00000000-0000-0000-0000-000000000000}"/>
  <bookViews>
    <workbookView xWindow="0" yWindow="460" windowWidth="33600" windowHeight="20440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48" i="2"/>
  <c r="G16" i="2"/>
  <c r="G15" i="2"/>
  <c r="AB21" i="3" s="1"/>
  <c r="R72" i="3" l="1"/>
  <c r="R71" i="3"/>
  <c r="BE27" i="3" s="1"/>
  <c r="L20" i="3"/>
  <c r="BK31" i="3"/>
  <c r="AY9" i="3"/>
  <c r="BE35" i="3"/>
  <c r="R28" i="3"/>
  <c r="B28" i="3" s="1"/>
  <c r="R69" i="3"/>
  <c r="BE11" i="3" s="1"/>
  <c r="R58" i="3"/>
  <c r="R77" i="3"/>
  <c r="R70" i="3"/>
  <c r="BE19" i="3" s="1"/>
  <c r="R85" i="3"/>
  <c r="BQ22" i="3" s="1"/>
  <c r="R65" i="3"/>
  <c r="AY37" i="3" s="1"/>
  <c r="R63" i="3"/>
  <c r="AY21" i="3" s="1"/>
  <c r="R81" i="3"/>
  <c r="BQ34" i="3" s="1"/>
  <c r="R64" i="3"/>
  <c r="AY33" i="3" s="1"/>
  <c r="R60" i="3"/>
  <c r="AY25" i="3" s="1"/>
  <c r="R76" i="3"/>
  <c r="BK15" i="3" s="1"/>
  <c r="R62" i="3"/>
  <c r="AY17" i="3" s="1"/>
  <c r="R61" i="3"/>
  <c r="AY29" i="3" s="1"/>
  <c r="R59" i="3"/>
  <c r="AY13" i="3" s="1"/>
  <c r="R51" i="3"/>
  <c r="B51" i="3" s="1"/>
  <c r="R43" i="3"/>
  <c r="R35" i="3"/>
  <c r="C35" i="3" s="1"/>
  <c r="R42" i="3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D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R38" i="3"/>
  <c r="B38" i="3" s="1"/>
  <c r="R30" i="3"/>
  <c r="B30" i="3" s="1"/>
  <c r="R53" i="3"/>
  <c r="R45" i="3"/>
  <c r="R37" i="3"/>
  <c r="B37" i="3" s="1"/>
  <c r="R29" i="3"/>
  <c r="R52" i="3"/>
  <c r="C52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C42" i="3"/>
  <c r="C41" i="3"/>
  <c r="D29" i="3"/>
  <c r="D35" i="3"/>
  <c r="D8" i="3"/>
  <c r="B29" i="3"/>
  <c r="D38" i="3"/>
  <c r="B46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51" i="3" l="1"/>
  <c r="D28" i="3"/>
  <c r="B36" i="3"/>
  <c r="D36" i="3"/>
  <c r="B34" i="3"/>
  <c r="D25" i="3"/>
  <c r="C34" i="3"/>
  <c r="C8" i="3"/>
  <c r="B49" i="3"/>
  <c r="C49" i="3"/>
  <c r="B25" i="3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S58" i="3" s="1"/>
  <c r="T58" i="3" s="1"/>
  <c r="BF12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S63" i="3" s="1"/>
  <c r="T63" i="3" s="1"/>
  <c r="BF21" i="3" s="1"/>
  <c r="M18" i="3"/>
  <c r="N18" i="3"/>
  <c r="L46" i="3"/>
  <c r="J15" i="3"/>
  <c r="AO14" i="3" s="1"/>
  <c r="AZ26" i="3" s="1"/>
  <c r="S60" i="3" s="1"/>
  <c r="T60" i="3" s="1"/>
  <c r="BF28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S59" i="3" s="1"/>
  <c r="T59" i="3" s="1"/>
  <c r="BF13" i="3" s="1"/>
  <c r="S69" i="3" s="1"/>
  <c r="T69" i="3" s="1"/>
  <c r="BL16" i="3" s="1"/>
  <c r="S76" i="3" s="1"/>
  <c r="T76" i="3" s="1"/>
  <c r="BR23" i="3" s="1"/>
  <c r="S85" i="3" s="1"/>
  <c r="O22" i="3"/>
  <c r="L21" i="3"/>
  <c r="M24" i="3"/>
  <c r="J46" i="3"/>
  <c r="AO45" i="3" s="1"/>
  <c r="AZ39" i="3" s="1"/>
  <c r="L47" i="3"/>
  <c r="J27" i="3"/>
  <c r="AO26" i="3" s="1"/>
  <c r="AZ30" i="3" s="1"/>
  <c r="S61" i="3" s="1"/>
  <c r="T61" i="3" s="1"/>
  <c r="BF29" i="3" s="1"/>
  <c r="S71" i="3" s="1"/>
  <c r="T71" i="3" s="1"/>
  <c r="BL32" i="3" s="1"/>
  <c r="U77" i="3" s="1"/>
  <c r="Z77" i="3" s="1"/>
  <c r="BR36" i="3" s="1"/>
  <c r="T81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S62" i="3" s="1"/>
  <c r="T62" i="3" s="1"/>
  <c r="BF20" i="3" s="1"/>
  <c r="S70" i="3" s="1"/>
  <c r="T70" i="3" s="1"/>
  <c r="BL17" i="3" s="1"/>
  <c r="U76" i="3" s="1"/>
  <c r="Z76" i="3" s="1"/>
  <c r="BR35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T85" i="3" l="1"/>
  <c r="BO41" i="3"/>
  <c r="S64" i="3"/>
  <c r="T64" i="3" s="1"/>
  <c r="BF36" i="3" s="1"/>
  <c r="S72" i="3" s="1"/>
  <c r="T72" i="3" s="1"/>
  <c r="BL33" i="3" s="1"/>
  <c r="S77" i="3" s="1"/>
  <c r="T77" i="3" s="1"/>
  <c r="BR24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<sst xmlns="http://schemas.openxmlformats.org/spreadsheetml/2006/main" count="4552" uniqueCount="2581">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</sst>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2553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2575</v>
      </c>
      <c r="AA2" t="s">
        <v>2098</v>
      </c>
      <c r="AB2" t="s">
        <v>2099</v>
      </c>
      <c r="AC2" t="s">
        <v>2100</v>
      </c>
      <c r="AD2" t="s">
        <v>2579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2554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2555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2556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2557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2558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2559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2560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2561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2562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2563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2564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2565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2303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2306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2258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2566</v>
      </c>
      <c r="O41" t="s">
        <v>1120</v>
      </c>
      <c r="P41" t="s">
        <v>2307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2304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2567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2576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2305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2224</v>
      </c>
      <c r="C45" t="s">
        <v>2225</v>
      </c>
      <c r="D45" t="s">
        <v>2257</v>
      </c>
      <c r="E45" t="s">
        <v>2226</v>
      </c>
      <c r="F45" t="s">
        <v>2227</v>
      </c>
      <c r="G45" t="s">
        <v>2228</v>
      </c>
      <c r="H45" t="s">
        <v>2229</v>
      </c>
      <c r="I45" t="s">
        <v>2230</v>
      </c>
      <c r="J45" t="s">
        <v>2231</v>
      </c>
      <c r="K45" t="s">
        <v>2232</v>
      </c>
      <c r="L45" t="s">
        <v>2233</v>
      </c>
      <c r="M45" t="s">
        <v>2233</v>
      </c>
      <c r="N45" t="s">
        <v>2578</v>
      </c>
      <c r="O45" t="s">
        <v>2234</v>
      </c>
      <c r="P45" t="s">
        <v>2235</v>
      </c>
      <c r="Q45" t="s">
        <v>2233</v>
      </c>
      <c r="R45" t="s">
        <v>2236</v>
      </c>
      <c r="S45" t="s">
        <v>2237</v>
      </c>
      <c r="T45" t="s">
        <v>2238</v>
      </c>
      <c r="U45" t="s">
        <v>2239</v>
      </c>
      <c r="V45" t="s">
        <v>2171</v>
      </c>
      <c r="W45" t="s">
        <v>2240</v>
      </c>
      <c r="X45" t="s">
        <v>2241</v>
      </c>
      <c r="Y45" t="s">
        <v>2242</v>
      </c>
      <c r="Z45" t="s">
        <v>2243</v>
      </c>
      <c r="AA45" t="s">
        <v>2244</v>
      </c>
      <c r="AB45" t="s">
        <v>2233</v>
      </c>
      <c r="AC45" t="s">
        <v>2245</v>
      </c>
      <c r="AD45" t="s">
        <v>2246</v>
      </c>
      <c r="AE45" t="s">
        <v>2247</v>
      </c>
      <c r="AF45" t="s">
        <v>2240</v>
      </c>
      <c r="AG45" t="s">
        <v>2248</v>
      </c>
      <c r="AH45" t="s">
        <v>2249</v>
      </c>
      <c r="AI45" t="s">
        <v>2250</v>
      </c>
      <c r="AJ45" t="s">
        <v>2231</v>
      </c>
      <c r="AK45" t="s">
        <v>2240</v>
      </c>
      <c r="AL45" t="s">
        <v>2251</v>
      </c>
      <c r="AM45" t="s">
        <v>2252</v>
      </c>
      <c r="AN45" t="s">
        <v>2253</v>
      </c>
      <c r="AO45" t="s">
        <v>2254</v>
      </c>
      <c r="AP45" t="s">
        <v>2255</v>
      </c>
      <c r="AQ45" t="s">
        <v>2256</v>
      </c>
      <c r="AR45" t="s">
        <v>2248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2308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2259</v>
      </c>
      <c r="D47" t="s">
        <v>2260</v>
      </c>
      <c r="E47" t="s">
        <v>2261</v>
      </c>
      <c r="F47" t="s">
        <v>2262</v>
      </c>
      <c r="G47" t="s">
        <v>2263</v>
      </c>
      <c r="H47" t="s">
        <v>2264</v>
      </c>
      <c r="I47" t="s">
        <v>2265</v>
      </c>
      <c r="J47" t="s">
        <v>2266</v>
      </c>
      <c r="K47" t="s">
        <v>2267</v>
      </c>
      <c r="L47" t="s">
        <v>2268</v>
      </c>
      <c r="M47" t="s">
        <v>2269</v>
      </c>
      <c r="N47" t="s">
        <v>2167</v>
      </c>
      <c r="O47" t="s">
        <v>2270</v>
      </c>
      <c r="P47" t="s">
        <v>2271</v>
      </c>
      <c r="Q47" t="s">
        <v>2268</v>
      </c>
      <c r="R47" t="s">
        <v>2272</v>
      </c>
      <c r="S47" t="s">
        <v>2273</v>
      </c>
      <c r="T47" t="s">
        <v>2274</v>
      </c>
      <c r="U47" t="s">
        <v>2167</v>
      </c>
      <c r="V47" t="s">
        <v>2275</v>
      </c>
      <c r="W47" t="s">
        <v>2167</v>
      </c>
      <c r="X47" t="s">
        <v>2276</v>
      </c>
      <c r="Y47" t="s">
        <v>2277</v>
      </c>
      <c r="Z47" t="s">
        <v>2278</v>
      </c>
      <c r="AA47" t="s">
        <v>2279</v>
      </c>
      <c r="AB47" t="s">
        <v>2167</v>
      </c>
      <c r="AC47" t="s">
        <v>2280</v>
      </c>
      <c r="AD47" t="s">
        <v>2167</v>
      </c>
      <c r="AE47" t="s">
        <v>2281</v>
      </c>
      <c r="AF47" t="s">
        <v>2167</v>
      </c>
      <c r="AG47" t="s">
        <v>2282</v>
      </c>
      <c r="AH47" t="s">
        <v>2278</v>
      </c>
      <c r="AI47" t="s">
        <v>2267</v>
      </c>
      <c r="AJ47" t="s">
        <v>2266</v>
      </c>
      <c r="AK47" t="s">
        <v>2167</v>
      </c>
      <c r="AL47" t="s">
        <v>2268</v>
      </c>
      <c r="AM47" t="s">
        <v>2283</v>
      </c>
      <c r="AN47" t="s">
        <v>2284</v>
      </c>
      <c r="AO47" t="s">
        <v>2167</v>
      </c>
      <c r="AP47" t="s">
        <v>2285</v>
      </c>
      <c r="AQ47" t="s">
        <v>2286</v>
      </c>
      <c r="AR47" t="s">
        <v>2282</v>
      </c>
    </row>
    <row r="48" spans="1:44" x14ac:dyDescent="0.2">
      <c r="A48" s="81" t="s">
        <v>2164</v>
      </c>
      <c r="B48" t="s">
        <v>2164</v>
      </c>
      <c r="C48" t="s">
        <v>2287</v>
      </c>
      <c r="D48" t="s">
        <v>2288</v>
      </c>
      <c r="E48" t="s">
        <v>2164</v>
      </c>
      <c r="F48" t="s">
        <v>2289</v>
      </c>
      <c r="G48" t="s">
        <v>2290</v>
      </c>
      <c r="H48" t="s">
        <v>2291</v>
      </c>
      <c r="I48" t="s">
        <v>2292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2293</v>
      </c>
      <c r="P48" t="s">
        <v>2309</v>
      </c>
      <c r="Q48" t="s">
        <v>2164</v>
      </c>
      <c r="R48" t="s">
        <v>2294</v>
      </c>
      <c r="S48" t="s">
        <v>2295</v>
      </c>
      <c r="T48" t="s">
        <v>2164</v>
      </c>
      <c r="U48" t="s">
        <v>2164</v>
      </c>
      <c r="V48" t="s">
        <v>2164</v>
      </c>
      <c r="W48" t="s">
        <v>2297</v>
      </c>
      <c r="X48" t="s">
        <v>2298</v>
      </c>
      <c r="Y48" t="s">
        <v>2164</v>
      </c>
      <c r="Z48" t="s">
        <v>2289</v>
      </c>
      <c r="AA48" t="s">
        <v>2297</v>
      </c>
      <c r="AB48" t="s">
        <v>2164</v>
      </c>
      <c r="AC48" t="s">
        <v>2299</v>
      </c>
      <c r="AD48" t="s">
        <v>2164</v>
      </c>
      <c r="AE48" t="s">
        <v>2164</v>
      </c>
      <c r="AF48" t="s">
        <v>2164</v>
      </c>
      <c r="AG48" t="s">
        <v>2289</v>
      </c>
      <c r="AH48" t="s">
        <v>2289</v>
      </c>
      <c r="AI48" t="s">
        <v>2164</v>
      </c>
      <c r="AJ48" t="s">
        <v>2164</v>
      </c>
      <c r="AK48" t="s">
        <v>2290</v>
      </c>
      <c r="AL48" t="s">
        <v>2296</v>
      </c>
      <c r="AM48" t="s">
        <v>2300</v>
      </c>
      <c r="AN48" t="s">
        <v>2164</v>
      </c>
      <c r="AO48" t="s">
        <v>2164</v>
      </c>
      <c r="AP48" t="s">
        <v>2289</v>
      </c>
      <c r="AQ48" t="s">
        <v>2301</v>
      </c>
      <c r="AR48" t="s">
        <v>2289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2568</v>
      </c>
      <c r="O50" t="s">
        <v>1307</v>
      </c>
      <c r="P50" t="s">
        <v>2310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2577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2302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2311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2312</v>
      </c>
      <c r="C53" t="s">
        <v>2313</v>
      </c>
      <c r="D53" t="s">
        <v>2314</v>
      </c>
      <c r="E53" t="s">
        <v>2315</v>
      </c>
      <c r="F53" t="s">
        <v>2316</v>
      </c>
      <c r="G53" t="s">
        <v>2317</v>
      </c>
      <c r="H53" t="s">
        <v>2318</v>
      </c>
      <c r="I53" t="s">
        <v>2319</v>
      </c>
      <c r="J53" t="s">
        <v>2320</v>
      </c>
      <c r="K53" t="s">
        <v>2321</v>
      </c>
      <c r="L53" t="s">
        <v>2322</v>
      </c>
      <c r="M53" t="s">
        <v>2323</v>
      </c>
      <c r="N53" t="s">
        <v>2322</v>
      </c>
      <c r="O53" t="s">
        <v>2324</v>
      </c>
      <c r="P53" t="s">
        <v>2325</v>
      </c>
      <c r="Q53" t="s">
        <v>2326</v>
      </c>
      <c r="R53" t="s">
        <v>2327</v>
      </c>
      <c r="S53" t="s">
        <v>2328</v>
      </c>
      <c r="T53" t="s">
        <v>2329</v>
      </c>
      <c r="U53" t="s">
        <v>2165</v>
      </c>
      <c r="V53" t="s">
        <v>2165</v>
      </c>
      <c r="W53" t="s">
        <v>2330</v>
      </c>
      <c r="X53" t="s">
        <v>2331</v>
      </c>
      <c r="Y53" t="s">
        <v>2332</v>
      </c>
      <c r="Z53" t="s">
        <v>2333</v>
      </c>
      <c r="AA53" t="s">
        <v>2315</v>
      </c>
      <c r="AB53" t="s">
        <v>2322</v>
      </c>
      <c r="AC53" t="s">
        <v>2334</v>
      </c>
      <c r="AD53" t="s">
        <v>2335</v>
      </c>
      <c r="AE53" t="s">
        <v>2317</v>
      </c>
      <c r="AF53" t="s">
        <v>2336</v>
      </c>
      <c r="AG53" t="s">
        <v>2316</v>
      </c>
      <c r="AH53" t="s">
        <v>2333</v>
      </c>
      <c r="AI53" t="s">
        <v>2321</v>
      </c>
      <c r="AJ53" t="s">
        <v>2320</v>
      </c>
      <c r="AK53" t="s">
        <v>2317</v>
      </c>
      <c r="AL53" t="s">
        <v>2322</v>
      </c>
      <c r="AM53" t="s">
        <v>2337</v>
      </c>
      <c r="AN53" t="s">
        <v>2315</v>
      </c>
      <c r="AO53" t="s">
        <v>2338</v>
      </c>
      <c r="AP53" t="s">
        <v>2339</v>
      </c>
      <c r="AQ53" t="s">
        <v>2340</v>
      </c>
      <c r="AR53" t="s">
        <v>2316</v>
      </c>
    </row>
    <row r="54" spans="1:44" x14ac:dyDescent="0.2">
      <c r="A54" s="81" t="s">
        <v>2168</v>
      </c>
      <c r="B54" t="s">
        <v>2341</v>
      </c>
      <c r="C54" t="s">
        <v>2342</v>
      </c>
      <c r="D54" t="s">
        <v>2343</v>
      </c>
      <c r="E54" t="s">
        <v>2344</v>
      </c>
      <c r="F54" t="s">
        <v>2345</v>
      </c>
      <c r="G54" t="s">
        <v>2346</v>
      </c>
      <c r="H54" t="s">
        <v>2347</v>
      </c>
      <c r="I54" t="s">
        <v>2347</v>
      </c>
      <c r="J54" t="s">
        <v>2348</v>
      </c>
      <c r="K54" t="s">
        <v>2349</v>
      </c>
      <c r="L54" t="s">
        <v>2350</v>
      </c>
      <c r="M54" t="s">
        <v>2351</v>
      </c>
      <c r="N54" t="s">
        <v>2569</v>
      </c>
      <c r="O54" t="s">
        <v>2352</v>
      </c>
      <c r="P54" t="s">
        <v>2353</v>
      </c>
      <c r="Q54" t="s">
        <v>2354</v>
      </c>
      <c r="R54" t="s">
        <v>2355</v>
      </c>
      <c r="S54" t="s">
        <v>2356</v>
      </c>
      <c r="T54" t="s">
        <v>2357</v>
      </c>
      <c r="U54" t="s">
        <v>2358</v>
      </c>
      <c r="V54" t="s">
        <v>2359</v>
      </c>
      <c r="W54" t="s">
        <v>2360</v>
      </c>
      <c r="X54" t="s">
        <v>2361</v>
      </c>
      <c r="Y54" t="s">
        <v>2362</v>
      </c>
      <c r="Z54" t="s">
        <v>2363</v>
      </c>
      <c r="AA54" t="s">
        <v>2475</v>
      </c>
      <c r="AB54" t="s">
        <v>2350</v>
      </c>
      <c r="AC54" t="s">
        <v>2364</v>
      </c>
      <c r="AD54" t="s">
        <v>2365</v>
      </c>
      <c r="AE54" t="s">
        <v>2366</v>
      </c>
      <c r="AF54" t="s">
        <v>2367</v>
      </c>
      <c r="AG54" t="s">
        <v>2345</v>
      </c>
      <c r="AH54" t="s">
        <v>2363</v>
      </c>
      <c r="AI54" t="s">
        <v>2349</v>
      </c>
      <c r="AJ54" t="s">
        <v>2348</v>
      </c>
      <c r="AK54" t="s">
        <v>2368</v>
      </c>
      <c r="AL54" t="s">
        <v>2350</v>
      </c>
      <c r="AM54" t="s">
        <v>2369</v>
      </c>
      <c r="AN54" t="s">
        <v>2344</v>
      </c>
      <c r="AO54" t="s">
        <v>2370</v>
      </c>
      <c r="AP54" t="s">
        <v>2371</v>
      </c>
      <c r="AQ54" t="s">
        <v>2372</v>
      </c>
      <c r="AR54" t="s">
        <v>2345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2373</v>
      </c>
      <c r="C57" t="s">
        <v>2374</v>
      </c>
      <c r="D57" t="s">
        <v>2375</v>
      </c>
      <c r="E57" t="s">
        <v>2376</v>
      </c>
      <c r="F57" t="s">
        <v>2377</v>
      </c>
      <c r="G57" t="s">
        <v>2378</v>
      </c>
      <c r="H57" t="s">
        <v>2379</v>
      </c>
      <c r="I57" t="s">
        <v>2380</v>
      </c>
      <c r="J57" t="s">
        <v>2381</v>
      </c>
      <c r="K57" t="s">
        <v>2381</v>
      </c>
      <c r="L57" t="s">
        <v>2381</v>
      </c>
      <c r="M57" t="s">
        <v>2382</v>
      </c>
      <c r="N57" t="s">
        <v>2570</v>
      </c>
      <c r="O57" t="s">
        <v>2383</v>
      </c>
      <c r="P57" t="s">
        <v>2384</v>
      </c>
      <c r="Q57" t="s">
        <v>2381</v>
      </c>
      <c r="R57" t="s">
        <v>2385</v>
      </c>
      <c r="S57" t="s">
        <v>2386</v>
      </c>
      <c r="T57" t="s">
        <v>2387</v>
      </c>
      <c r="U57" t="s">
        <v>2388</v>
      </c>
      <c r="V57" t="s">
        <v>2389</v>
      </c>
      <c r="W57" t="s">
        <v>2390</v>
      </c>
      <c r="X57" t="s">
        <v>2391</v>
      </c>
      <c r="Y57" t="s">
        <v>2392</v>
      </c>
      <c r="Z57" t="s">
        <v>2393</v>
      </c>
      <c r="AA57" t="s">
        <v>2390</v>
      </c>
      <c r="AB57" t="s">
        <v>2381</v>
      </c>
      <c r="AC57" t="s">
        <v>2394</v>
      </c>
      <c r="AD57" t="s">
        <v>2388</v>
      </c>
      <c r="AE57" t="s">
        <v>2395</v>
      </c>
      <c r="AF57" t="s">
        <v>2390</v>
      </c>
      <c r="AG57" t="s">
        <v>2377</v>
      </c>
      <c r="AH57" t="s">
        <v>2393</v>
      </c>
      <c r="AI57" t="s">
        <v>2381</v>
      </c>
      <c r="AJ57" t="s">
        <v>2392</v>
      </c>
      <c r="AK57" t="s">
        <v>2388</v>
      </c>
      <c r="AL57" t="s">
        <v>2381</v>
      </c>
      <c r="AM57" t="s">
        <v>2396</v>
      </c>
      <c r="AN57" t="s">
        <v>2397</v>
      </c>
      <c r="AO57" t="s">
        <v>2166</v>
      </c>
      <c r="AP57" t="s">
        <v>2398</v>
      </c>
      <c r="AQ57" t="s">
        <v>2399</v>
      </c>
      <c r="AR57" t="s">
        <v>2377</v>
      </c>
    </row>
    <row r="58" spans="1:44" x14ac:dyDescent="0.2">
      <c r="A58" s="81" t="s">
        <v>2172</v>
      </c>
      <c r="B58" t="s">
        <v>2172</v>
      </c>
      <c r="C58" t="s">
        <v>2400</v>
      </c>
      <c r="D58" t="s">
        <v>2401</v>
      </c>
      <c r="E58" t="s">
        <v>2402</v>
      </c>
      <c r="F58" t="s">
        <v>2403</v>
      </c>
      <c r="G58" t="s">
        <v>2172</v>
      </c>
      <c r="H58" t="s">
        <v>2404</v>
      </c>
      <c r="I58" t="s">
        <v>2405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2406</v>
      </c>
      <c r="P58" t="s">
        <v>2407</v>
      </c>
      <c r="Q58" t="s">
        <v>2172</v>
      </c>
      <c r="R58" t="s">
        <v>2408</v>
      </c>
      <c r="S58" t="s">
        <v>2409</v>
      </c>
      <c r="T58" t="s">
        <v>2410</v>
      </c>
      <c r="U58" t="s">
        <v>2411</v>
      </c>
      <c r="V58" t="s">
        <v>2172</v>
      </c>
      <c r="W58" t="s">
        <v>2172</v>
      </c>
      <c r="X58" t="s">
        <v>2412</v>
      </c>
      <c r="Y58" t="s">
        <v>2413</v>
      </c>
      <c r="Z58" t="s">
        <v>2403</v>
      </c>
      <c r="AA58" t="s">
        <v>2411</v>
      </c>
      <c r="AB58" t="s">
        <v>2172</v>
      </c>
      <c r="AC58" t="s">
        <v>2414</v>
      </c>
      <c r="AD58" t="s">
        <v>2172</v>
      </c>
      <c r="AE58" t="s">
        <v>2172</v>
      </c>
      <c r="AF58" t="s">
        <v>2172</v>
      </c>
      <c r="AG58" t="s">
        <v>2403</v>
      </c>
      <c r="AH58" t="s">
        <v>2415</v>
      </c>
      <c r="AI58" t="s">
        <v>2172</v>
      </c>
      <c r="AJ58" t="s">
        <v>2172</v>
      </c>
      <c r="AK58" t="s">
        <v>2172</v>
      </c>
      <c r="AL58" t="s">
        <v>2172</v>
      </c>
      <c r="AM58" t="s">
        <v>2416</v>
      </c>
      <c r="AN58" t="s">
        <v>2172</v>
      </c>
      <c r="AO58" t="s">
        <v>2172</v>
      </c>
      <c r="AP58" t="s">
        <v>2403</v>
      </c>
      <c r="AQ58" t="s">
        <v>2417</v>
      </c>
      <c r="AR58" t="s">
        <v>2403</v>
      </c>
    </row>
    <row r="59" spans="1:44" x14ac:dyDescent="0.2">
      <c r="A59" s="81" t="s">
        <v>2170</v>
      </c>
      <c r="B59" t="s">
        <v>2418</v>
      </c>
      <c r="C59" t="s">
        <v>2419</v>
      </c>
      <c r="D59" t="s">
        <v>2420</v>
      </c>
      <c r="E59" t="s">
        <v>2421</v>
      </c>
      <c r="F59" t="s">
        <v>2422</v>
      </c>
      <c r="G59" t="s">
        <v>2423</v>
      </c>
      <c r="H59" t="s">
        <v>2424</v>
      </c>
      <c r="I59" t="s">
        <v>2424</v>
      </c>
      <c r="J59" t="s">
        <v>2421</v>
      </c>
      <c r="K59" t="s">
        <v>2425</v>
      </c>
      <c r="L59" t="s">
        <v>2426</v>
      </c>
      <c r="M59" t="s">
        <v>2427</v>
      </c>
      <c r="N59" t="s">
        <v>2571</v>
      </c>
      <c r="O59" t="s">
        <v>2428</v>
      </c>
      <c r="P59" t="s">
        <v>2429</v>
      </c>
      <c r="Q59" t="s">
        <v>2426</v>
      </c>
      <c r="R59" t="s">
        <v>2430</v>
      </c>
      <c r="S59" t="s">
        <v>2431</v>
      </c>
      <c r="T59" t="s">
        <v>2432</v>
      </c>
      <c r="U59" t="s">
        <v>2170</v>
      </c>
      <c r="V59" t="s">
        <v>2433</v>
      </c>
      <c r="W59" t="s">
        <v>2170</v>
      </c>
      <c r="X59" t="s">
        <v>2434</v>
      </c>
      <c r="Y59" t="s">
        <v>2435</v>
      </c>
      <c r="Z59" t="s">
        <v>2422</v>
      </c>
      <c r="AA59" t="s">
        <v>2436</v>
      </c>
      <c r="AB59" t="s">
        <v>2170</v>
      </c>
      <c r="AC59" t="s">
        <v>2419</v>
      </c>
      <c r="AD59" t="s">
        <v>2437</v>
      </c>
      <c r="AE59" t="s">
        <v>2423</v>
      </c>
      <c r="AF59" t="s">
        <v>2170</v>
      </c>
      <c r="AG59" t="s">
        <v>2422</v>
      </c>
      <c r="AH59" t="s">
        <v>2422</v>
      </c>
      <c r="AI59" t="s">
        <v>2425</v>
      </c>
      <c r="AJ59" t="s">
        <v>2438</v>
      </c>
      <c r="AK59" t="s">
        <v>2439</v>
      </c>
      <c r="AL59" t="s">
        <v>2473</v>
      </c>
      <c r="AM59" t="s">
        <v>2440</v>
      </c>
      <c r="AN59" t="s">
        <v>2441</v>
      </c>
      <c r="AO59" t="s">
        <v>2170</v>
      </c>
      <c r="AP59" t="s">
        <v>2442</v>
      </c>
      <c r="AQ59" t="s">
        <v>2443</v>
      </c>
      <c r="AR59" t="s">
        <v>2422</v>
      </c>
    </row>
    <row r="60" spans="1:44" x14ac:dyDescent="0.2">
      <c r="A60" s="81" t="s">
        <v>2162</v>
      </c>
      <c r="B60" t="s">
        <v>2444</v>
      </c>
      <c r="C60" t="s">
        <v>2445</v>
      </c>
      <c r="D60" t="s">
        <v>2446</v>
      </c>
      <c r="E60" t="s">
        <v>2447</v>
      </c>
      <c r="F60" t="s">
        <v>2448</v>
      </c>
      <c r="G60" t="s">
        <v>2449</v>
      </c>
      <c r="H60" t="s">
        <v>2450</v>
      </c>
      <c r="I60" t="s">
        <v>2450</v>
      </c>
      <c r="J60" t="s">
        <v>2451</v>
      </c>
      <c r="K60" t="s">
        <v>2162</v>
      </c>
      <c r="L60" t="s">
        <v>2452</v>
      </c>
      <c r="M60" t="s">
        <v>2453</v>
      </c>
      <c r="N60" t="s">
        <v>2460</v>
      </c>
      <c r="O60" t="s">
        <v>2453</v>
      </c>
      <c r="P60" t="s">
        <v>2454</v>
      </c>
      <c r="Q60" t="s">
        <v>2455</v>
      </c>
      <c r="R60" t="s">
        <v>2456</v>
      </c>
      <c r="S60" t="s">
        <v>2457</v>
      </c>
      <c r="T60" t="s">
        <v>2458</v>
      </c>
      <c r="U60" t="s">
        <v>2459</v>
      </c>
      <c r="V60" t="s">
        <v>2460</v>
      </c>
      <c r="W60" t="s">
        <v>2461</v>
      </c>
      <c r="X60" t="s">
        <v>2462</v>
      </c>
      <c r="Y60" t="s">
        <v>2463</v>
      </c>
      <c r="Z60" t="s">
        <v>2448</v>
      </c>
      <c r="AA60" t="s">
        <v>2464</v>
      </c>
      <c r="AB60" t="s">
        <v>2162</v>
      </c>
      <c r="AC60" t="s">
        <v>2445</v>
      </c>
      <c r="AD60" t="s">
        <v>2465</v>
      </c>
      <c r="AE60" t="s">
        <v>2466</v>
      </c>
      <c r="AF60" t="s">
        <v>2465</v>
      </c>
      <c r="AG60" t="s">
        <v>2448</v>
      </c>
      <c r="AH60" t="s">
        <v>2467</v>
      </c>
      <c r="AI60" t="s">
        <v>2162</v>
      </c>
      <c r="AJ60" t="s">
        <v>2465</v>
      </c>
      <c r="AK60" t="s">
        <v>2468</v>
      </c>
      <c r="AL60" t="s">
        <v>2452</v>
      </c>
      <c r="AM60" t="s">
        <v>2469</v>
      </c>
      <c r="AN60" t="s">
        <v>2470</v>
      </c>
      <c r="AO60" t="s">
        <v>2471</v>
      </c>
      <c r="AP60" t="s">
        <v>2472</v>
      </c>
      <c r="AQ60" t="s">
        <v>2445</v>
      </c>
      <c r="AR60" t="s">
        <v>2448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2572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2474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2476</v>
      </c>
      <c r="C64" t="s">
        <v>2477</v>
      </c>
      <c r="D64" t="s">
        <v>2478</v>
      </c>
      <c r="E64" t="s">
        <v>2500</v>
      </c>
      <c r="F64" t="s">
        <v>2479</v>
      </c>
      <c r="G64" t="s">
        <v>2480</v>
      </c>
      <c r="H64" t="s">
        <v>2481</v>
      </c>
      <c r="I64" t="s">
        <v>2481</v>
      </c>
      <c r="J64" t="s">
        <v>2482</v>
      </c>
      <c r="K64" t="s">
        <v>2482</v>
      </c>
      <c r="L64" t="s">
        <v>2483</v>
      </c>
      <c r="M64" t="s">
        <v>2483</v>
      </c>
      <c r="N64" t="s">
        <v>2483</v>
      </c>
      <c r="O64" t="s">
        <v>2484</v>
      </c>
      <c r="P64" t="s">
        <v>2485</v>
      </c>
      <c r="Q64" t="s">
        <v>2483</v>
      </c>
      <c r="R64" t="s">
        <v>2486</v>
      </c>
      <c r="S64" t="s">
        <v>2487</v>
      </c>
      <c r="T64" t="s">
        <v>2488</v>
      </c>
      <c r="U64" t="s">
        <v>2482</v>
      </c>
      <c r="V64" t="s">
        <v>2488</v>
      </c>
      <c r="W64" t="s">
        <v>2489</v>
      </c>
      <c r="X64" t="s">
        <v>2490</v>
      </c>
      <c r="Y64" t="s">
        <v>2491</v>
      </c>
      <c r="Z64" t="s">
        <v>2479</v>
      </c>
      <c r="AA64" t="s">
        <v>2492</v>
      </c>
      <c r="AB64" t="s">
        <v>2483</v>
      </c>
      <c r="AC64" t="s">
        <v>2493</v>
      </c>
      <c r="AD64" t="s">
        <v>2482</v>
      </c>
      <c r="AE64" t="s">
        <v>2494</v>
      </c>
      <c r="AF64" t="s">
        <v>2484</v>
      </c>
      <c r="AG64" t="s">
        <v>2495</v>
      </c>
      <c r="AH64" t="s">
        <v>2479</v>
      </c>
      <c r="AI64" t="s">
        <v>2482</v>
      </c>
      <c r="AJ64" t="s">
        <v>2482</v>
      </c>
      <c r="AK64" t="s">
        <v>2496</v>
      </c>
      <c r="AL64" t="s">
        <v>2497</v>
      </c>
      <c r="AM64" t="s">
        <v>2498</v>
      </c>
      <c r="AN64" t="s">
        <v>2499</v>
      </c>
      <c r="AO64" t="s">
        <v>2163</v>
      </c>
      <c r="AP64" t="s">
        <v>2495</v>
      </c>
      <c r="AQ64" t="s">
        <v>2493</v>
      </c>
      <c r="AR64" t="s">
        <v>2495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2573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2501</v>
      </c>
      <c r="D68" t="s">
        <v>2502</v>
      </c>
      <c r="E68" t="s">
        <v>2169</v>
      </c>
      <c r="F68" t="s">
        <v>2503</v>
      </c>
      <c r="G68" t="s">
        <v>2504</v>
      </c>
      <c r="H68" t="s">
        <v>2505</v>
      </c>
      <c r="I68" t="s">
        <v>2506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2507</v>
      </c>
      <c r="Q68" t="s">
        <v>2169</v>
      </c>
      <c r="R68" t="s">
        <v>2508</v>
      </c>
      <c r="S68" t="s">
        <v>2509</v>
      </c>
      <c r="T68" t="s">
        <v>2169</v>
      </c>
      <c r="U68" t="s">
        <v>2169</v>
      </c>
      <c r="V68" t="s">
        <v>2169</v>
      </c>
      <c r="W68" t="s">
        <v>2169</v>
      </c>
      <c r="X68" t="s">
        <v>2510</v>
      </c>
      <c r="Y68" t="s">
        <v>2169</v>
      </c>
      <c r="Z68" t="s">
        <v>2503</v>
      </c>
      <c r="AA68" t="s">
        <v>2169</v>
      </c>
      <c r="AB68" t="s">
        <v>2169</v>
      </c>
      <c r="AC68" t="s">
        <v>2511</v>
      </c>
      <c r="AD68" t="s">
        <v>2169</v>
      </c>
      <c r="AE68" t="s">
        <v>2512</v>
      </c>
      <c r="AF68" t="s">
        <v>2169</v>
      </c>
      <c r="AG68" t="s">
        <v>2503</v>
      </c>
      <c r="AH68" t="s">
        <v>2503</v>
      </c>
      <c r="AI68" t="s">
        <v>2169</v>
      </c>
      <c r="AJ68" t="s">
        <v>2169</v>
      </c>
      <c r="AK68" t="s">
        <v>2512</v>
      </c>
      <c r="AL68" t="s">
        <v>2169</v>
      </c>
      <c r="AM68" t="s">
        <v>2513</v>
      </c>
      <c r="AN68" t="s">
        <v>2169</v>
      </c>
      <c r="AO68" t="s">
        <v>2169</v>
      </c>
      <c r="AP68" t="s">
        <v>2503</v>
      </c>
      <c r="AQ68" t="s">
        <v>2511</v>
      </c>
      <c r="AR68" t="s">
        <v>2503</v>
      </c>
    </row>
    <row r="69" spans="1:44" x14ac:dyDescent="0.2">
      <c r="A69" s="81" t="s">
        <v>2161</v>
      </c>
      <c r="B69" t="s">
        <v>2514</v>
      </c>
      <c r="C69" t="s">
        <v>2515</v>
      </c>
      <c r="D69" t="s">
        <v>2516</v>
      </c>
      <c r="E69" t="s">
        <v>2517</v>
      </c>
      <c r="F69" t="s">
        <v>2518</v>
      </c>
      <c r="G69" t="s">
        <v>2519</v>
      </c>
      <c r="H69" t="s">
        <v>2520</v>
      </c>
      <c r="I69" t="s">
        <v>2520</v>
      </c>
      <c r="J69" t="s">
        <v>2521</v>
      </c>
      <c r="K69" t="s">
        <v>2522</v>
      </c>
      <c r="L69" t="s">
        <v>2523</v>
      </c>
      <c r="M69" t="s">
        <v>2524</v>
      </c>
      <c r="N69" t="s">
        <v>2161</v>
      </c>
      <c r="O69" t="s">
        <v>2525</v>
      </c>
      <c r="P69" t="s">
        <v>2526</v>
      </c>
      <c r="Q69" t="s">
        <v>2523</v>
      </c>
      <c r="R69" t="s">
        <v>2527</v>
      </c>
      <c r="S69" t="s">
        <v>2528</v>
      </c>
      <c r="T69" t="s">
        <v>2529</v>
      </c>
      <c r="U69" t="s">
        <v>2530</v>
      </c>
      <c r="V69" t="s">
        <v>2531</v>
      </c>
      <c r="W69" t="s">
        <v>2532</v>
      </c>
      <c r="X69" t="s">
        <v>2533</v>
      </c>
      <c r="Y69" t="s">
        <v>2534</v>
      </c>
      <c r="Z69" t="s">
        <v>2535</v>
      </c>
      <c r="AA69" t="s">
        <v>2536</v>
      </c>
      <c r="AB69" t="s">
        <v>2537</v>
      </c>
      <c r="AC69" t="s">
        <v>2538</v>
      </c>
      <c r="AD69" t="s">
        <v>2539</v>
      </c>
      <c r="AE69" t="s">
        <v>2540</v>
      </c>
      <c r="AF69" t="s">
        <v>2541</v>
      </c>
      <c r="AG69" t="s">
        <v>2542</v>
      </c>
      <c r="AH69" t="s">
        <v>2543</v>
      </c>
      <c r="AI69" t="s">
        <v>2544</v>
      </c>
      <c r="AJ69" t="s">
        <v>2545</v>
      </c>
      <c r="AK69" t="s">
        <v>2532</v>
      </c>
      <c r="AL69" t="s">
        <v>2546</v>
      </c>
      <c r="AM69" t="s">
        <v>2547</v>
      </c>
      <c r="AN69" t="s">
        <v>2548</v>
      </c>
      <c r="AO69" t="s">
        <v>2549</v>
      </c>
      <c r="AP69" t="s">
        <v>2550</v>
      </c>
      <c r="AQ69" t="s">
        <v>2551</v>
      </c>
      <c r="AR69" t="s">
        <v>2542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2184</v>
      </c>
      <c r="B102" t="s">
        <v>2029</v>
      </c>
      <c r="C102" t="s">
        <v>2185</v>
      </c>
      <c r="D102" t="s">
        <v>2186</v>
      </c>
      <c r="E102" t="s">
        <v>2187</v>
      </c>
      <c r="F102" t="s">
        <v>2188</v>
      </c>
      <c r="G102" t="s">
        <v>2189</v>
      </c>
      <c r="H102" t="s">
        <v>2190</v>
      </c>
      <c r="I102" t="s">
        <v>2184</v>
      </c>
      <c r="J102" t="s">
        <v>2191</v>
      </c>
      <c r="K102" t="s">
        <v>2192</v>
      </c>
      <c r="L102" t="s">
        <v>2193</v>
      </c>
      <c r="M102" t="s">
        <v>2194</v>
      </c>
      <c r="N102" t="s">
        <v>2574</v>
      </c>
      <c r="O102" t="s">
        <v>2195</v>
      </c>
      <c r="P102" t="s">
        <v>2196</v>
      </c>
      <c r="Q102" t="s">
        <v>2197</v>
      </c>
      <c r="R102" t="s">
        <v>2198</v>
      </c>
      <c r="S102" t="s">
        <v>2199</v>
      </c>
      <c r="T102" t="s">
        <v>2030</v>
      </c>
      <c r="U102" t="s">
        <v>2200</v>
      </c>
      <c r="V102" t="s">
        <v>2201</v>
      </c>
      <c r="W102" t="s">
        <v>2202</v>
      </c>
      <c r="X102" t="s">
        <v>2203</v>
      </c>
      <c r="Y102" t="s">
        <v>2204</v>
      </c>
      <c r="Z102" t="s">
        <v>2205</v>
      </c>
      <c r="AA102" t="s">
        <v>2206</v>
      </c>
      <c r="AB102" t="s">
        <v>2207</v>
      </c>
      <c r="AC102" t="s">
        <v>2208</v>
      </c>
      <c r="AD102" t="s">
        <v>2209</v>
      </c>
      <c r="AE102" t="s">
        <v>2210</v>
      </c>
      <c r="AF102" t="s">
        <v>2211</v>
      </c>
      <c r="AG102" t="s">
        <v>2212</v>
      </c>
      <c r="AH102" t="s">
        <v>2213</v>
      </c>
      <c r="AI102" t="s">
        <v>2214</v>
      </c>
      <c r="AJ102" t="s">
        <v>2215</v>
      </c>
      <c r="AK102" t="s">
        <v>2216</v>
      </c>
      <c r="AL102" t="s">
        <v>2217</v>
      </c>
      <c r="AM102" t="s">
        <v>2218</v>
      </c>
      <c r="AN102" t="s">
        <v>2219</v>
      </c>
      <c r="AO102" t="s">
        <v>2220</v>
      </c>
      <c r="AP102" t="s">
        <v>2221</v>
      </c>
      <c r="AQ102" t="s">
        <v>2031</v>
      </c>
      <c r="AR102" t="s">
        <v>2222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workbookViewId="0">
      <selection activeCell="G20" sqref="G20"/>
    </sheetView>
  </sheetViews>
  <sheetFormatPr baseColWidth="10" defaultColWidth="9.16406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9.1640625" style="11"/>
    <col min="5" max="5" width="1.1640625" style="11" customWidth="1"/>
    <col min="6" max="6" width="9.1640625" style="11"/>
    <col min="7" max="7" width="27.5" style="11" bestFit="1" customWidth="1"/>
    <col min="8" max="8" width="2.6640625" style="11" customWidth="1"/>
    <col min="9" max="9" width="1.1640625" style="11" customWidth="1"/>
    <col min="10" max="16384" width="9.16406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2580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2139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2183</v>
      </c>
      <c r="C12" s="107" t="s">
        <v>1294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Germany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zoomScaleNormal="100" workbookViewId="0">
      <selection activeCell="F12" sqref="F12"/>
    </sheetView>
  </sheetViews>
  <sheetFormatPr baseColWidth="10" defaultColWidth="9.16406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9.1640625" style="3"/>
  </cols>
  <sheetData>
    <row r="1" spans="1:72" ht="47" x14ac:dyDescent="0.2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2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1</v>
      </c>
      <c r="AD8" s="58">
        <f>COUNTIF($S$7:$T$54,"=" &amp; AB8 &amp; "_draw")</f>
        <v>2</v>
      </c>
      <c r="AE8" s="58">
        <f>COUNTIF($S$7:$T$54,"=" &amp; AB8 &amp; "_lose")</f>
        <v>0</v>
      </c>
      <c r="AF8" s="58">
        <f>SUMIF($E$7:$E$54,$AB8,$F$7:$F$54) + SUMIF($H$7:$H$54,$AB8,$G$7:$G$54)</f>
        <v>8</v>
      </c>
      <c r="AG8" s="58">
        <f>SUMIF($E$7:$E$54,$AB8,$G$7:$G$54) + SUMIF($H$7:$H$54,$AB8,$F$7:$F$54)</f>
        <v>3</v>
      </c>
      <c r="AH8" s="58">
        <f>(AF8-AG8)+1</f>
        <v>6</v>
      </c>
      <c r="AI8" s="58">
        <f>AF8-AG8</f>
        <v>5</v>
      </c>
      <c r="AJ8" s="58">
        <f>(AI8-AI13)/AI12</f>
        <v>0.9375</v>
      </c>
      <c r="AK8" s="58">
        <f>AC8*3+AD8</f>
        <v>5</v>
      </c>
      <c r="AL8" s="58">
        <f>AP8/AP12*1000+AQ8/AQ12*100+AT8/AT12*10+AR8/AR12</f>
        <v>50.666666666666664</v>
      </c>
      <c r="AM8" s="58">
        <f>VLOOKUP(AB8,db_fifarank,2,FALSE)/2000000</f>
        <v>2.6699999999999998E-4</v>
      </c>
      <c r="AN8" s="59">
        <f>1000*AK8/AK12+100*AJ8+10*AF8/AF12+1*AL8/AL12+AM8</f>
        <v>729.73091216129035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1</v>
      </c>
      <c r="AR8" s="62">
        <f>SUMPRODUCT(($E$7:$E$54=AB8)*($U$7:$U$54)*($F$7:$F$54))+SUMPRODUCT(($H$7:$H$54=AB8)*($U$7:$U$54)*($G$7:$G$54))</f>
        <v>2</v>
      </c>
      <c r="AS8" s="62">
        <f>SUMPRODUCT(($E$7:$E$54=AB8)*($U$7:$U$54)*($G$7:$G$54))+SUMPRODUCT(($H$7:$H$54=AB8)*($U$7:$U$54)*($F$7:$F$54))</f>
        <v>2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2</v>
      </c>
      <c r="G9" s="24">
        <v>2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2</v>
      </c>
      <c r="M9" s="70">
        <f>VLOOKUP(1,AA8:AK11,4,FALSE)</f>
        <v>1</v>
      </c>
      <c r="N9" s="70">
        <f>VLOOKUP(1,AA8:AK11,5,FALSE)</f>
        <v>0</v>
      </c>
      <c r="O9" s="70" t="str">
        <f>VLOOKUP(1,AA8:AK11,6,FALSE) &amp; " - " &amp; VLOOKUP(1,AA8:AK11,7,FALSE)</f>
        <v>7 - 2</v>
      </c>
      <c r="P9" s="71">
        <f>L9*3+M9</f>
        <v>7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1</v>
      </c>
      <c r="V9" s="58">
        <f t="shared" si="5"/>
        <v>2</v>
      </c>
      <c r="W9" s="58">
        <f t="shared" si="6"/>
        <v>2</v>
      </c>
      <c r="X9" s="58">
        <f t="shared" si="7"/>
        <v>0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3</v>
      </c>
      <c r="AF9" s="58">
        <f>SUMIF($E$7:$E$54,$AB9,$F$7:$F$54) + SUMIF($H$7:$H$54,$AB9,$G$7:$G$54)</f>
        <v>1</v>
      </c>
      <c r="AG9" s="58">
        <f>SUMIF($E$7:$E$54,$AB9,$G$7:$G$54) + SUMIF($H$7:$H$54,$AB9,$F$7:$F$54)</f>
        <v>11</v>
      </c>
      <c r="AH9" s="58">
        <f>(AF9-AG9)+1</f>
        <v>-9</v>
      </c>
      <c r="AI9" s="58">
        <f>AF9-AG9</f>
        <v>-10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1.2502715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1</v>
      </c>
      <c r="G10" s="24">
        <v>2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1</v>
      </c>
      <c r="M10" s="27">
        <f>VLOOKUP(2,AA8:AK11,4,FALSE)</f>
        <v>2</v>
      </c>
      <c r="N10" s="27">
        <f>VLOOKUP(2,AA8:AK11,5,FALSE)</f>
        <v>0</v>
      </c>
      <c r="O10" s="27" t="str">
        <f>VLOOKUP(2,AA8:AK11,6,FALSE) &amp; " - " &amp; VLOOKUP(2,AA8:AK11,7,FALSE)</f>
        <v>8 - 3</v>
      </c>
      <c r="P10" s="73">
        <f>L10*3+M10</f>
        <v>5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3</v>
      </c>
      <c r="AB10" s="59" t="str">
        <f>VLOOKUP("Egypt",T,lang,FALSE)</f>
        <v>Egypt</v>
      </c>
      <c r="AC10" s="58">
        <f>COUNTIF($S$7:$T$54,"=" &amp; AB10 &amp; "_win")</f>
        <v>1</v>
      </c>
      <c r="AD10" s="58">
        <f>COUNTIF($S$7:$T$54,"=" &amp; AB10 &amp; "_draw")</f>
        <v>1</v>
      </c>
      <c r="AE10" s="58">
        <f>COUNTIF($S$7:$T$54,"=" &amp; AB10 &amp; "_lose")</f>
        <v>1</v>
      </c>
      <c r="AF10" s="58">
        <f>SUMIF($E$7:$E$54,$AB10,$F$7:$F$54) + SUMIF($H$7:$H$54,$AB10,$G$7:$G$54)</f>
        <v>3</v>
      </c>
      <c r="AG10" s="58">
        <f>SUMIF($E$7:$E$54,$AB10,$G$7:$G$54) + SUMIF($H$7:$H$54,$AB10,$F$7:$F$54)</f>
        <v>3</v>
      </c>
      <c r="AH10" s="58">
        <f>(AF10-AG10)+1</f>
        <v>1</v>
      </c>
      <c r="AI10" s="58">
        <f>AF10-AG10</f>
        <v>0</v>
      </c>
      <c r="AJ10" s="58">
        <f>(AI10-AI13)/AI12</f>
        <v>0.625</v>
      </c>
      <c r="AK10" s="58">
        <f>AC10*3+AD10</f>
        <v>4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566.25040249999995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3</v>
      </c>
      <c r="G11" s="24">
        <v>0</v>
      </c>
      <c r="H11" s="67" t="str">
        <f>AB21</f>
        <v>Australia</v>
      </c>
      <c r="J11" s="72" t="str">
        <f>VLOOKUP(3,AA8:AK11,2,FALSE)</f>
        <v>Egypt</v>
      </c>
      <c r="K11" s="27">
        <f>L11+M11+N11</f>
        <v>3</v>
      </c>
      <c r="L11" s="27">
        <f>VLOOKUP(3,AA8:AK11,3,FALSE)</f>
        <v>1</v>
      </c>
      <c r="M11" s="27">
        <f>VLOOKUP(3,AA8:AK11,4,FALSE)</f>
        <v>1</v>
      </c>
      <c r="N11" s="27">
        <f>VLOOKUP(3,AA8:AK11,5,FALSE)</f>
        <v>1</v>
      </c>
      <c r="O11" s="27" t="str">
        <f>VLOOKUP(3,AA8:AK11,6,FALSE) &amp; " - " &amp; VLOOKUP(3,AA8:AK11,7,FALSE)</f>
        <v>3 - 3</v>
      </c>
      <c r="P11" s="73">
        <f>L11*3+M11</f>
        <v>4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2</v>
      </c>
      <c r="AD11" s="58">
        <f>COUNTIF($S$7:$T$54,"=" &amp; AB11 &amp; "_draw")</f>
        <v>1</v>
      </c>
      <c r="AE11" s="58">
        <f>COUNTIF($S$7:$T$54,"=" &amp; AB11 &amp; "_lose")</f>
        <v>0</v>
      </c>
      <c r="AF11" s="58">
        <f>SUMIF($E$7:$E$54,$AB11,$F$7:$F$54) + SUMIF($H$7:$H$54,$AB11,$G$7:$G$54)</f>
        <v>7</v>
      </c>
      <c r="AG11" s="58">
        <f>SUMIF($E$7:$E$54,$AB11,$G$7:$G$54) + SUMIF($H$7:$H$54,$AB11,$F$7:$F$54)</f>
        <v>2</v>
      </c>
      <c r="AH11" s="58">
        <f>(AF11-AG11)+1</f>
        <v>6</v>
      </c>
      <c r="AI11" s="58">
        <f>AF11-AG11</f>
        <v>5</v>
      </c>
      <c r="AJ11" s="58">
        <f>(AI11-AI13)/AI12</f>
        <v>0.9375</v>
      </c>
      <c r="AK11" s="58">
        <f>AC11*3+AD11</f>
        <v>7</v>
      </c>
      <c r="AL11" s="58">
        <f>AP11/AP12*1000+AQ11/AQ12*100+AT11/AT12*10+AR11/AR12</f>
        <v>50.666666666666664</v>
      </c>
      <c r="AM11" s="58">
        <f>VLOOKUP(AB11,db_fifarank,2,FALSE)/2000000</f>
        <v>4.6200000000000001E-4</v>
      </c>
      <c r="AN11" s="59">
        <f>1000*AK11/AK12+100*AJ11+10*AF11/AF12+1*AL11/AL12+AM11</f>
        <v>978.48110716129031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1</v>
      </c>
      <c r="AR11" s="62">
        <f>SUMPRODUCT(($E$7:$E$54=AB11)*($U$7:$U$54)*($F$7:$F$54))+SUMPRODUCT(($H$7:$H$54=AB11)*($U$7:$U$54)*($G$7:$G$54))</f>
        <v>2</v>
      </c>
      <c r="AS11" s="62">
        <f>SUMPRODUCT(($E$7:$E$54=AB11)*($U$7:$U$54)*($G$7:$G$54))+SUMPRODUCT(($H$7:$H$54=AB11)*($U$7:$U$54)*($F$7:$F$54))</f>
        <v>2</v>
      </c>
      <c r="AT11" s="62">
        <f>AR11-AS11</f>
        <v>0</v>
      </c>
      <c r="AY11" s="119"/>
      <c r="AZ11" s="31" t="str">
        <f>AO15</f>
        <v>Spain</v>
      </c>
      <c r="BA11" s="32">
        <v>3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2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1 - 11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Peru_win</v>
      </c>
      <c r="T12" s="65" t="str">
        <f t="shared" si="3"/>
        <v>Denmark_lose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1</v>
      </c>
      <c r="AC12" s="58">
        <f t="shared" ref="AC12:AL12" si="10">MAX(AC8:AC11)-MIN(AC8:AC11)+1</f>
        <v>3</v>
      </c>
      <c r="AD12" s="58">
        <f t="shared" si="10"/>
        <v>3</v>
      </c>
      <c r="AE12" s="58">
        <f t="shared" si="10"/>
        <v>4</v>
      </c>
      <c r="AF12" s="58">
        <f t="shared" si="10"/>
        <v>8</v>
      </c>
      <c r="AG12" s="58">
        <f t="shared" si="10"/>
        <v>10</v>
      </c>
      <c r="AH12" s="58">
        <f>MAX(AH8:AH11)-AH13+1</f>
        <v>16</v>
      </c>
      <c r="AI12" s="58">
        <f>MAX(AI8:AI11)-AI13+1</f>
        <v>16</v>
      </c>
      <c r="AK12" s="58">
        <f t="shared" si="10"/>
        <v>8</v>
      </c>
      <c r="AL12" s="58">
        <f t="shared" si="10"/>
        <v>51.666666666666664</v>
      </c>
      <c r="AP12" s="58">
        <f>MAX(AP8:AP11)-MIN(AP8:AP11)+1</f>
        <v>1</v>
      </c>
      <c r="AQ12" s="58">
        <f>MAX(AQ8:AQ11)-MIN(AQ8:AQ11)+1</f>
        <v>2</v>
      </c>
      <c r="AR12" s="58">
        <f>MAX(AR8:AR11)-MIN(AR8:AR11)+1</f>
        <v>3</v>
      </c>
      <c r="AS12" s="58">
        <f>MAX(AS8:AS11)-MIN(AS8:AS11)+1</f>
        <v>3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Spain</v>
      </c>
      <c r="BG12" s="29">
        <v>1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4</v>
      </c>
      <c r="G13" s="24">
        <v>0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Argentina_win</v>
      </c>
      <c r="T13" s="65" t="str">
        <f t="shared" si="3"/>
        <v>Iceland_lose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1</v>
      </c>
      <c r="AH13" s="58">
        <f>MIN(AH8:AH11)</f>
        <v>-9</v>
      </c>
      <c r="AI13" s="58">
        <f>MIN(AI8:AI11)</f>
        <v>-10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1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2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7</v>
      </c>
      <c r="AG14" s="58">
        <f>SUMIF($E$7:$E$54,$AB14,$G$7:$G$54) + SUMIF($H$7:$H$54,$AB14,$F$7:$F$54)</f>
        <v>2</v>
      </c>
      <c r="AH14" s="58">
        <f>(AF14-AG14)*100+AK14*10000+AF14</f>
        <v>70507</v>
      </c>
      <c r="AI14" s="58">
        <f>AF14-AG14</f>
        <v>5</v>
      </c>
      <c r="AJ14" s="58">
        <f>(AI14-AI19)/AI18</f>
        <v>0.91666666666666663</v>
      </c>
      <c r="AK14" s="58">
        <f>AC14*3+AD14</f>
        <v>7</v>
      </c>
      <c r="AL14" s="58">
        <f>AP14/AP18*1000+AQ14/AQ18*100+AT14/AT18*10+AR14/AR18</f>
        <v>50.666666666666664</v>
      </c>
      <c r="AM14" s="58">
        <f>VLOOKUP(AB14,db_fifarank,2,FALSE)/2000000</f>
        <v>6.7900000000000002E-4</v>
      </c>
      <c r="AN14" s="59">
        <f>1000*AK14/AK18+100*AJ14+10*AF14/AF18+1*AL14/AL18+AM14</f>
        <v>977.64799082795696</v>
      </c>
      <c r="AO14" s="60" t="str">
        <f>IF(SUM(AC14:AE17)=12,J15,INDEX(T,72,lang))</f>
        <v>Portugal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1</v>
      </c>
      <c r="AR14" s="62">
        <f>SUMPRODUCT(($E$7:$E$54=AB14)*($U$7:$U$54)*($F$7:$F$54))+SUMPRODUCT(($H$7:$H$54=AB14)*($U$7:$U$54)*($G$7:$G$54))</f>
        <v>2</v>
      </c>
      <c r="AS14" s="62">
        <f>SUMPRODUCT(($E$7:$E$54=AB14)*($U$7:$U$54)*($G$7:$G$54))+SUMPRODUCT(($H$7:$H$54=AB14)*($U$7:$U$54)*($F$7:$F$54))</f>
        <v>2</v>
      </c>
      <c r="AT14" s="62">
        <f>AR14-AS14</f>
        <v>0</v>
      </c>
      <c r="AY14" s="118">
        <v>50</v>
      </c>
      <c r="AZ14" s="28" t="str">
        <f>AO20</f>
        <v>France</v>
      </c>
      <c r="BA14" s="29">
        <v>2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3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3</v>
      </c>
      <c r="L15" s="70">
        <f>VLOOKUP(1,AA14:AK17,3,FALSE)</f>
        <v>2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7 - 2</v>
      </c>
      <c r="P15" s="71">
        <f>L15*3+M15</f>
        <v>7</v>
      </c>
      <c r="R15" s="58">
        <f>DATE(2018,6,17)+TIME(7,0,0)+gmt_delta</f>
        <v>43268.541666666664</v>
      </c>
      <c r="S15" s="65" t="str">
        <f t="shared" si="2"/>
        <v>Brazil_win</v>
      </c>
      <c r="T15" s="65" t="str">
        <f t="shared" si="3"/>
        <v>Switzerland_lose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1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7</v>
      </c>
      <c r="AG15" s="58">
        <f>SUMIF($E$7:$E$54,$AB15,$G$7:$G$54) + SUMIF($H$7:$H$54,$AB15,$F$7:$F$54)</f>
        <v>2</v>
      </c>
      <c r="AH15" s="58">
        <f>(AF15-AG15)*100+AK15*10000+AF15</f>
        <v>70507</v>
      </c>
      <c r="AI15" s="58">
        <f>AF15-AG15</f>
        <v>5</v>
      </c>
      <c r="AJ15" s="58">
        <f>(AI15-AI19)/AI18</f>
        <v>0.91666666666666663</v>
      </c>
      <c r="AK15" s="58">
        <f>AC15*3+AD15</f>
        <v>7</v>
      </c>
      <c r="AL15" s="58">
        <f>AP15/AP18*1000+AQ15/AQ18*100+AT15/AT18*10+AR15/AR18</f>
        <v>50.666666666666664</v>
      </c>
      <c r="AM15" s="58">
        <f>VLOOKUP(AB15,db_fifarank,2,FALSE)/2000000</f>
        <v>6.1550000000000005E-4</v>
      </c>
      <c r="AN15" s="59">
        <f>1000*AK15/AK18+100*AJ15+10*AF15/AF18+1*AL15/AL18+AM15</f>
        <v>977.64792732795695</v>
      </c>
      <c r="AO15" s="60" t="str">
        <f>IF(SUM(AC14:AE17)=12,J16,INDEX(T,73,lang))</f>
        <v>Spain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1</v>
      </c>
      <c r="AR15" s="62">
        <f>SUMPRODUCT(($E$7:$E$54=AB15)*($U$7:$U$54)*($F$7:$F$54))+SUMPRODUCT(($H$7:$H$54=AB15)*($U$7:$U$54)*($G$7:$G$54))</f>
        <v>2</v>
      </c>
      <c r="AS15" s="62">
        <f>SUMPRODUCT(($E$7:$E$54=AB15)*($U$7:$U$54)*($G$7:$G$54))+SUMPRODUCT(($H$7:$H$54=AB15)*($U$7:$U$54)*($F$7:$F$54))</f>
        <v>2</v>
      </c>
      <c r="AT15" s="62">
        <f>AR15-AS15</f>
        <v>0</v>
      </c>
      <c r="AY15" s="119"/>
      <c r="AZ15" s="31" t="str">
        <f>AO27</f>
        <v>Croatia</v>
      </c>
      <c r="BA15" s="32">
        <v>0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1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3</v>
      </c>
      <c r="L16" s="27">
        <f>VLOOKUP(2,AA14:AK17,3,FALSE)</f>
        <v>2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7 - 2</v>
      </c>
      <c r="P16" s="73">
        <f>L16*3+M16</f>
        <v>7</v>
      </c>
      <c r="R16" s="58">
        <f>DATE(2018,6,17)+TIME(1,0,0)+gmt_delta</f>
        <v>43268.291666666664</v>
      </c>
      <c r="S16" s="65" t="str">
        <f t="shared" si="2"/>
        <v>Costa Rica_draw</v>
      </c>
      <c r="T16" s="65" t="str">
        <f t="shared" si="3"/>
        <v>Serbia_draw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0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3</v>
      </c>
      <c r="AF16" s="58">
        <f>SUMIF($E$7:$E$54,$AB16,$F$7:$F$54) + SUMIF($H$7:$H$54,$AB16,$G$7:$G$54)</f>
        <v>1</v>
      </c>
      <c r="AG16" s="58">
        <f>SUMIF($E$7:$E$54,$AB16,$G$7:$G$54) + SUMIF($H$7:$H$54,$AB16,$F$7:$F$54)</f>
        <v>7</v>
      </c>
      <c r="AH16" s="58">
        <f>(AF16-AG16)*100+AK16*10000+AF16</f>
        <v>-599</v>
      </c>
      <c r="AI16" s="58">
        <f>AF16-AG16</f>
        <v>-6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1.4289404285714287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France</v>
      </c>
      <c r="BM16" s="29">
        <v>2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3</v>
      </c>
      <c r="G17" s="24">
        <v>0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2 - 6</v>
      </c>
      <c r="P17" s="73">
        <f>L17*3+M17</f>
        <v>3</v>
      </c>
      <c r="R17" s="58">
        <f>DATE(2018,6,17)+TIME(4,0,0)+gmt_delta</f>
        <v>43268.416666666664</v>
      </c>
      <c r="S17" s="65" t="str">
        <f t="shared" si="2"/>
        <v>Germany_win</v>
      </c>
      <c r="T17" s="65" t="str">
        <f t="shared" si="3"/>
        <v>Mexico_lose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1</v>
      </c>
      <c r="Y17" s="58">
        <f t="shared" si="9"/>
        <v>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2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6</v>
      </c>
      <c r="AH17" s="58">
        <f>(AF17-AG17)*100+AK17*10000+AF17</f>
        <v>29602</v>
      </c>
      <c r="AI17" s="58">
        <f>AF17-AG17</f>
        <v>-4</v>
      </c>
      <c r="AJ17" s="58">
        <f>(AI17-AI19)/AI18</f>
        <v>0.16666666666666666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394.52420852380953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Brazil</v>
      </c>
      <c r="BM17" s="32">
        <v>1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1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1 - 7</v>
      </c>
      <c r="P18" s="76">
        <f>L18*3+M18</f>
        <v>0</v>
      </c>
      <c r="R18" s="58">
        <f>DATE(2018,6,18)+TIME(1,0,0)+gmt_delta</f>
        <v>43269.291666666664</v>
      </c>
      <c r="S18" s="65" t="str">
        <f t="shared" si="2"/>
        <v>Sweden_draw</v>
      </c>
      <c r="T18" s="65" t="str">
        <f t="shared" si="3"/>
        <v>Korea Republic_draw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0</v>
      </c>
      <c r="AC18" s="58">
        <f t="shared" ref="AC18:AL18" si="11">MAX(AC14:AC17)-MIN(AC14:AC17)+1</f>
        <v>3</v>
      </c>
      <c r="AD18" s="58">
        <f t="shared" si="11"/>
        <v>2</v>
      </c>
      <c r="AE18" s="58">
        <f t="shared" si="11"/>
        <v>4</v>
      </c>
      <c r="AF18" s="58">
        <f t="shared" si="11"/>
        <v>7</v>
      </c>
      <c r="AG18" s="58">
        <f t="shared" si="11"/>
        <v>6</v>
      </c>
      <c r="AH18" s="58">
        <f>MAX(AH14:AH17)-AH19+1</f>
        <v>71107</v>
      </c>
      <c r="AI18" s="58">
        <f>MAX(AI14:AI17)-AI19+1</f>
        <v>12</v>
      </c>
      <c r="AK18" s="58">
        <f t="shared" si="11"/>
        <v>8</v>
      </c>
      <c r="AL18" s="58">
        <f t="shared" si="11"/>
        <v>51.666666666666664</v>
      </c>
      <c r="AP18" s="58">
        <f>MAX(AP14:AP17)-MIN(AP14:AP17)+1</f>
        <v>1</v>
      </c>
      <c r="AQ18" s="58">
        <f>MAX(AQ14:AQ17)-MIN(AQ14:AQ17)+1</f>
        <v>2</v>
      </c>
      <c r="AR18" s="58">
        <f>MAX(AR14:AR17)-MIN(AR14:AR17)+1</f>
        <v>3</v>
      </c>
      <c r="AS18" s="58">
        <f>MAX(AS14:AS17)-MIN(AS14:AS17)+1</f>
        <v>3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>
        <v>3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4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-599</v>
      </c>
      <c r="AI19" s="58">
        <f>MIN(AI14:AI17)</f>
        <v>-6</v>
      </c>
      <c r="AY19" s="119"/>
      <c r="AZ19" s="31" t="str">
        <f>AO39</f>
        <v>Mexico</v>
      </c>
      <c r="BA19" s="32">
        <v>1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0</v>
      </c>
      <c r="G20" s="24">
        <v>0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Tunisia_draw</v>
      </c>
      <c r="T20" s="65" t="str">
        <f t="shared" si="3"/>
        <v>England_draw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0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3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9</v>
      </c>
      <c r="AG20" s="58">
        <f>SUMIF($E$7:$E$54,$AB20,$G$7:$G$54) + SUMIF($H$7:$H$54,$AB20,$F$7:$F$54)</f>
        <v>1</v>
      </c>
      <c r="AH20" s="58">
        <f>(AF20-AG20)*100+AK20*10000+AF20</f>
        <v>90809</v>
      </c>
      <c r="AI20" s="58">
        <f>AF20-AG20</f>
        <v>8</v>
      </c>
      <c r="AJ20" s="58">
        <f>(AI20-AI25)/AI24</f>
        <v>0.92307692307692313</v>
      </c>
      <c r="AK20" s="58">
        <f>AC20*3+AD20</f>
        <v>9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1103.5582838076923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Brazil</v>
      </c>
      <c r="BG20" s="29">
        <v>3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2</v>
      </c>
      <c r="G21" s="24">
        <v>0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3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9 - 1</v>
      </c>
      <c r="P21" s="71">
        <f>L21*3+M21</f>
        <v>9</v>
      </c>
      <c r="R21" s="58">
        <f>DATE(2018,6,19)+TIME(4,0,0)+gmt_delta</f>
        <v>43270.416666666664</v>
      </c>
      <c r="S21" s="65" t="str">
        <f t="shared" si="2"/>
        <v>Poland_win</v>
      </c>
      <c r="T21" s="65" t="str">
        <f t="shared" si="3"/>
        <v>Senegal_lose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6</v>
      </c>
      <c r="AH21" s="58">
        <f>(AF21-AG21)*100+AK21*10000+AF21</f>
        <v>9602</v>
      </c>
      <c r="AI21" s="58">
        <f>AF21-AG21</f>
        <v>-4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113.61148461111111</v>
      </c>
      <c r="AO21" s="60" t="str">
        <f>IF(SUM(AC20:AE23)=12,J22,INDEX(T,75,lang))</f>
        <v>Peru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Belgium</v>
      </c>
      <c r="BG21" s="32">
        <v>2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2</v>
      </c>
      <c r="G22" s="24">
        <v>0</v>
      </c>
      <c r="H22" s="67" t="str">
        <f>AB53</f>
        <v>Japan</v>
      </c>
      <c r="J22" s="72" t="str">
        <f>VLOOKUP(2,AA20:AK23,2,FALSE)</f>
        <v>Peru</v>
      </c>
      <c r="K22" s="27">
        <f>L22+M22+N22</f>
        <v>3</v>
      </c>
      <c r="L22" s="27">
        <f>VLOOKUP(2,AA20:AK23,3,FALSE)</f>
        <v>1</v>
      </c>
      <c r="M22" s="27">
        <f>VLOOKUP(2,AA20:AK23,4,FALSE)</f>
        <v>1</v>
      </c>
      <c r="N22" s="27">
        <f>VLOOKUP(2,AA20:AK23,5,FALSE)</f>
        <v>1</v>
      </c>
      <c r="O22" s="27" t="str">
        <f>VLOOKUP(2,AA20:AK23,6,FALSE) &amp; " - " &amp; VLOOKUP(2,AA20:AK23,7,FALSE)</f>
        <v>3 - 5</v>
      </c>
      <c r="P22" s="73">
        <f>L22*3+M22</f>
        <v>4</v>
      </c>
      <c r="R22" s="58">
        <f>DATE(2018,6,19)+TIME(1,0,0)+gmt_delta</f>
        <v>43270.291666666664</v>
      </c>
      <c r="S22" s="65" t="str">
        <f t="shared" si="2"/>
        <v>Colombia_win</v>
      </c>
      <c r="T22" s="65" t="str">
        <f t="shared" si="3"/>
        <v>Japan_lose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1</v>
      </c>
      <c r="AA22" s="58">
        <f>COUNTIF(AN20:AN23,CONCATENATE("&gt;=",AN22))</f>
        <v>2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1</v>
      </c>
      <c r="AE22" s="58">
        <f>COUNTIF($S$7:$T$54,"=" &amp; AB22 &amp; "_lose")</f>
        <v>1</v>
      </c>
      <c r="AF22" s="58">
        <f>SUMIF($E$7:$E$54,$AB22,$F$7:$F$54) + SUMIF($H$7:$H$54,$AB22,$G$7:$G$54)</f>
        <v>3</v>
      </c>
      <c r="AG22" s="58">
        <f>SUMIF($E$7:$E$54,$AB22,$G$7:$G$54) + SUMIF($H$7:$H$54,$AB22,$F$7:$F$54)</f>
        <v>5</v>
      </c>
      <c r="AH22" s="58">
        <f>(AF22-AG22)*100+AK22*10000+AF22</f>
        <v>39803</v>
      </c>
      <c r="AI22" s="58">
        <f>AF22-AG22</f>
        <v>-2</v>
      </c>
      <c r="AJ22" s="58">
        <f>(AI22-AI25)/AI24</f>
        <v>0.15384615384615385</v>
      </c>
      <c r="AK22" s="58">
        <f>AC22*3+AD22</f>
        <v>4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463.57962382905981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1</v>
      </c>
      <c r="G23" s="24">
        <v>1</v>
      </c>
      <c r="H23" s="67" t="str">
        <f>AB10</f>
        <v>Egypt</v>
      </c>
      <c r="J23" s="72" t="str">
        <f>VLOOKUP(3,AA20:AK23,2,FALSE)</f>
        <v>Denmark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4 - 6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Russia_draw</v>
      </c>
      <c r="T23" s="65" t="str">
        <f t="shared" si="3"/>
        <v>Egypt_draw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0</v>
      </c>
      <c r="AA23" s="58">
        <f>COUNTIF(AN20:AN23,CONCATENATE("&gt;=",AN23))</f>
        <v>3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0</v>
      </c>
      <c r="AE23" s="58">
        <f>COUNTIF($S$7:$T$54,"=" &amp; AB23 &amp; "_lose")</f>
        <v>2</v>
      </c>
      <c r="AF23" s="58">
        <f>SUMIF($E$7:$E$54,$AB23,$F$7:$F$54) + SUMIF($H$7:$H$54,$AB23,$G$7:$G$54)</f>
        <v>4</v>
      </c>
      <c r="AG23" s="58">
        <f>SUMIF($E$7:$E$54,$AB23,$G$7:$G$54) + SUMIF($H$7:$H$54,$AB23,$F$7:$F$54)</f>
        <v>6</v>
      </c>
      <c r="AH23" s="58">
        <f>(AF23-AG23)*100+AK23*10000+AF23</f>
        <v>29804</v>
      </c>
      <c r="AI23" s="58">
        <f>AF23-AG23</f>
        <v>-2</v>
      </c>
      <c r="AJ23" s="58">
        <f>(AI23-AI25)/AI24</f>
        <v>0.15384615384615385</v>
      </c>
      <c r="AK23" s="58">
        <f>AC23*3+AD23</f>
        <v>3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353.71849821794865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Colombia</v>
      </c>
      <c r="BA23" s="32">
        <v>2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France</v>
      </c>
      <c r="BS23" s="29">
        <v>2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4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2 - 6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4</v>
      </c>
      <c r="AD24" s="58">
        <f t="shared" si="12"/>
        <v>2</v>
      </c>
      <c r="AE24" s="58">
        <f t="shared" si="12"/>
        <v>3</v>
      </c>
      <c r="AF24" s="58">
        <f t="shared" si="12"/>
        <v>8</v>
      </c>
      <c r="AG24" s="58">
        <f t="shared" si="12"/>
        <v>6</v>
      </c>
      <c r="AH24" s="58">
        <f>MAX(AH20:AH23)-AH25+1</f>
        <v>81208</v>
      </c>
      <c r="AI24" s="58">
        <f>MAX(AI20:AI23)-AI25+1</f>
        <v>13</v>
      </c>
      <c r="AK24" s="58">
        <f t="shared" si="12"/>
        <v>9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Germany</v>
      </c>
      <c r="BS24" s="32">
        <v>1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3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9602</v>
      </c>
      <c r="AI25" s="58">
        <f>MIN(AI20:AI23)</f>
        <v>-4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3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3</v>
      </c>
      <c r="AD26" s="58">
        <f>COUNTIF($S$7:$T$54,"=" &amp; AB26 &amp; "_draw")</f>
        <v>0</v>
      </c>
      <c r="AE26" s="58">
        <f>COUNTIF($S$7:$T$54,"=" &amp; AB26 &amp; "_lose")</f>
        <v>0</v>
      </c>
      <c r="AF26" s="58">
        <f>SUMIF($E$7:$E$54,$AB26,$F$7:$F$54) + SUMIF($H$7:$H$54,$AB26,$G$7:$G$54)</f>
        <v>9</v>
      </c>
      <c r="AG26" s="58">
        <f>SUMIF($E$7:$E$54,$AB26,$G$7:$G$54) + SUMIF($H$7:$H$54,$AB26,$F$7:$F$54)</f>
        <v>2</v>
      </c>
      <c r="AH26" s="58">
        <f>(AF26-AG26)*100+AK26*10000+AF26</f>
        <v>90709</v>
      </c>
      <c r="AI26" s="58">
        <f>AF26-AG26</f>
        <v>7</v>
      </c>
      <c r="AJ26" s="58">
        <f>(AI26-AI31)/AI30</f>
        <v>0.91666666666666663</v>
      </c>
      <c r="AK26" s="58">
        <f>AC26*3+AD26</f>
        <v>9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1106.6673406666666</v>
      </c>
      <c r="AO26" s="60" t="str">
        <f>IF(SUM(AC26:AE29)=12,J27,INDEX(T,76,lang))</f>
        <v>Argentina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Portugal</v>
      </c>
      <c r="BA26" s="29">
        <v>3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3</v>
      </c>
      <c r="G27" s="24">
        <v>0</v>
      </c>
      <c r="H27" s="67" t="str">
        <f>AB22</f>
        <v>Peru</v>
      </c>
      <c r="J27" s="69" t="str">
        <f>VLOOKUP(1,AA26:AK29,2,FALSE)</f>
        <v>Argentina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9 - 2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2</v>
      </c>
      <c r="AE27" s="58">
        <f>COUNTIF($S$7:$T$54,"=" &amp; AB27 &amp; "_lose")</f>
        <v>1</v>
      </c>
      <c r="AF27" s="58">
        <f>SUMIF($E$7:$E$54,$AB27,$F$7:$F$54) + SUMIF($H$7:$H$54,$AB27,$G$7:$G$54)</f>
        <v>4</v>
      </c>
      <c r="AG27" s="58">
        <f>SUMIF($E$7:$E$54,$AB27,$G$7:$G$54) + SUMIF($H$7:$H$54,$AB27,$F$7:$F$54)</f>
        <v>8</v>
      </c>
      <c r="AH27" s="58">
        <f>(AF27-AG27)*100+AK27*10000+AF27</f>
        <v>19604</v>
      </c>
      <c r="AI27" s="58">
        <f>AF27-AG27</f>
        <v>-4</v>
      </c>
      <c r="AJ27" s="58">
        <f>(AI27-AI31)/AI30</f>
        <v>0</v>
      </c>
      <c r="AK27" s="58">
        <f>AC27*3+AD27</f>
        <v>2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228.88934388888887</v>
      </c>
      <c r="AO27" s="60" t="str">
        <f>IF(SUM(AC26:AE29)=12,J28,INDEX(T,77,lang))</f>
        <v>Croatia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>
        <v>0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2</v>
      </c>
      <c r="G28" s="24">
        <v>1</v>
      </c>
      <c r="H28" s="67" t="str">
        <f>AB21</f>
        <v>Australia</v>
      </c>
      <c r="J28" s="72" t="str">
        <f>VLOOKUP(2,AA26:AK29,2,FALSE)</f>
        <v>Croatia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5 - 6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Denmark_win</v>
      </c>
      <c r="T28" s="65" t="str">
        <f t="shared" si="3"/>
        <v>Australia_lose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1</v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1</v>
      </c>
      <c r="AD28" s="58">
        <f>COUNTIF($S$7:$T$54,"=" &amp; AB28 &amp; "_draw")</f>
        <v>1</v>
      </c>
      <c r="AE28" s="58">
        <f>COUNTIF($S$7:$T$54,"=" &amp; AB28 &amp; "_lose")</f>
        <v>1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6</v>
      </c>
      <c r="AH28" s="58">
        <f>(AF28-AG28)*100+AK28*10000+AF28</f>
        <v>39905</v>
      </c>
      <c r="AI28" s="58">
        <f>AF28-AG28</f>
        <v>-1</v>
      </c>
      <c r="AJ28" s="58">
        <f>(AI28-AI31)/AI30</f>
        <v>0.25</v>
      </c>
      <c r="AK28" s="58">
        <f>AC28*3+AD28</f>
        <v>4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477.77828677777779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Portugal</v>
      </c>
      <c r="BG28" s="29">
        <v>2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3</v>
      </c>
      <c r="G29" s="24">
        <v>1</v>
      </c>
      <c r="H29" s="67" t="str">
        <f>AB28</f>
        <v>Croatia</v>
      </c>
      <c r="J29" s="72" t="str">
        <f>VLOOKUP(3,AA26:AK29,2,FALSE)</f>
        <v>Iceland</v>
      </c>
      <c r="K29" s="27">
        <f>L29+M29+N29</f>
        <v>3</v>
      </c>
      <c r="L29" s="27">
        <f>VLOOKUP(3,AA26:AK29,3,FALSE)</f>
        <v>0</v>
      </c>
      <c r="M29" s="27">
        <f>VLOOKUP(3,AA26:AK29,4,FALSE)</f>
        <v>2</v>
      </c>
      <c r="N29" s="27">
        <f>VLOOKUP(3,AA26:AK29,5,FALSE)</f>
        <v>1</v>
      </c>
      <c r="O29" s="27" t="str">
        <f>VLOOKUP(3,AA26:AK29,6,FALSE) &amp; " - " &amp; VLOOKUP(3,AA26:AK29,7,FALSE)</f>
        <v>4 - 8</v>
      </c>
      <c r="P29" s="73">
        <f>L29*3+M29</f>
        <v>2</v>
      </c>
      <c r="R29" s="58">
        <f>DATE(2018,6,21)+TIME(7,0,0)+gmt_delta</f>
        <v>43272.541666666664</v>
      </c>
      <c r="S29" s="65" t="str">
        <f t="shared" si="2"/>
        <v>Argentina_win</v>
      </c>
      <c r="T29" s="65" t="str">
        <f t="shared" si="3"/>
        <v>Croatia_lose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1</v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1</v>
      </c>
      <c r="AE29" s="58">
        <f>COUNTIF($S$7:$T$54,"=" &amp; AB29 &amp; "_lose")</f>
        <v>2</v>
      </c>
      <c r="AF29" s="58">
        <f>SUMIF($E$7:$E$54,$AB29,$F$7:$F$54) + SUMIF($H$7:$H$54,$AB29,$G$7:$G$54)</f>
        <v>4</v>
      </c>
      <c r="AG29" s="58">
        <f>SUMIF($E$7:$E$54,$AB29,$G$7:$G$54) + SUMIF($H$7:$H$54,$AB29,$F$7:$F$54)</f>
        <v>6</v>
      </c>
      <c r="AH29" s="58">
        <f>(AF29-AG29)*100+AK29*10000+AF29</f>
        <v>9804</v>
      </c>
      <c r="AI29" s="58">
        <f>AF29-AG29</f>
        <v>-2</v>
      </c>
      <c r="AJ29" s="58">
        <f>(AI29-AI31)/AI30</f>
        <v>0.16666666666666666</v>
      </c>
      <c r="AK29" s="58">
        <f>AC29*3+AD29</f>
        <v>1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134.44476444444442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Argentina</v>
      </c>
      <c r="BG29" s="32">
        <v>4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2</v>
      </c>
      <c r="H30" s="67" t="str">
        <f>AB27</f>
        <v>Iceland</v>
      </c>
      <c r="J30" s="74" t="str">
        <f>VLOOKUP(4,AA26:AK29,2,FALSE)</f>
        <v>Nigeria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4 - 6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Nigeria_draw</v>
      </c>
      <c r="T30" s="65" t="str">
        <f t="shared" si="3"/>
        <v>Iceland_draw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0</v>
      </c>
      <c r="AC30" s="58">
        <f t="shared" ref="AC30:AL30" si="13">MAX(AC26:AC29)-MIN(AC26:AC29)+1</f>
        <v>4</v>
      </c>
      <c r="AD30" s="58">
        <f t="shared" si="13"/>
        <v>3</v>
      </c>
      <c r="AE30" s="58">
        <f t="shared" si="13"/>
        <v>3</v>
      </c>
      <c r="AF30" s="58">
        <f t="shared" si="13"/>
        <v>6</v>
      </c>
      <c r="AG30" s="58">
        <f t="shared" si="13"/>
        <v>7</v>
      </c>
      <c r="AH30" s="58">
        <f>MAX(AH26:AH29)-AH31+1</f>
        <v>80906</v>
      </c>
      <c r="AI30" s="58">
        <f>MAX(AI26:AI29)-AI31+1</f>
        <v>12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Argentina</v>
      </c>
      <c r="BA30" s="29">
        <v>4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3</v>
      </c>
      <c r="G31" s="24">
        <v>2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9804</v>
      </c>
      <c r="AI31" s="58">
        <f>MIN(AI26:AI29)</f>
        <v>-4</v>
      </c>
      <c r="AY31" s="119"/>
      <c r="AZ31" s="31" t="str">
        <f>AO21</f>
        <v>Peru</v>
      </c>
      <c r="BA31" s="32">
        <v>0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3</v>
      </c>
      <c r="AD32" s="58">
        <f>COUNTIF($S$7:$T$54,"=" &amp; AB32 &amp; "_draw")</f>
        <v>0</v>
      </c>
      <c r="AE32" s="58">
        <f>COUNTIF($S$7:$T$54,"=" &amp; AB32 &amp; "_lose")</f>
        <v>0</v>
      </c>
      <c r="AF32" s="58">
        <f>SUMIF($E$7:$E$54,$AB32,$F$7:$F$54) + SUMIF($H$7:$H$54,$AB32,$G$7:$G$54)</f>
        <v>8</v>
      </c>
      <c r="AG32" s="58">
        <f>SUMIF($E$7:$E$54,$AB32,$G$7:$G$54) + SUMIF($H$7:$H$54,$AB32,$F$7:$F$54)</f>
        <v>3</v>
      </c>
      <c r="AH32" s="58">
        <f>(AF32-AG32)*100+AK32*10000+AF32</f>
        <v>90508</v>
      </c>
      <c r="AI32" s="58">
        <f>AF32-AG32</f>
        <v>5</v>
      </c>
      <c r="AJ32" s="58">
        <f>(AI32-AI37)/AI36</f>
        <v>0.88888888888888884</v>
      </c>
      <c r="AK32" s="58">
        <f>AC32*3+AD32</f>
        <v>9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1100.3182018174602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Argentina</v>
      </c>
      <c r="BM32" s="29">
        <v>1</v>
      </c>
      <c r="BN32" s="30"/>
      <c r="BO32" s="40"/>
      <c r="BP32" s="41"/>
      <c r="BQ32" s="127"/>
      <c r="BR32" s="128"/>
      <c r="BS32" s="128"/>
      <c r="BT32" s="129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1</v>
      </c>
      <c r="G33" s="24">
        <v>0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3</v>
      </c>
      <c r="M33" s="70">
        <f>VLOOKUP(1,AA32:AK35,4,FALSE)</f>
        <v>0</v>
      </c>
      <c r="N33" s="70">
        <f>VLOOKUP(1,AA32:AK35,5,FALSE)</f>
        <v>0</v>
      </c>
      <c r="O33" s="70" t="str">
        <f>VLOOKUP(1,AA32:AK35,6,FALSE) &amp; " - " &amp; VLOOKUP(1,AA32:AK35,7,FALSE)</f>
        <v>8 - 3</v>
      </c>
      <c r="P33" s="71">
        <f>L33*3+M33</f>
        <v>9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1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1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6</v>
      </c>
      <c r="AH33" s="58">
        <f>(AF33-AG33)*100+AK33*10000+AF33</f>
        <v>39905</v>
      </c>
      <c r="AI33" s="58">
        <f>AF33-AG33</f>
        <v>-1</v>
      </c>
      <c r="AJ33" s="58">
        <f>(AI33-AI37)/AI36</f>
        <v>0.22222222222222221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473.81011880952383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Germany</v>
      </c>
      <c r="BM33" s="32">
        <v>2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1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1</v>
      </c>
      <c r="O34" s="27" t="str">
        <f>VLOOKUP(2,AA32:AK35,6,FALSE) &amp; " - " &amp; VLOOKUP(2,AA32:AK35,7,FALSE)</f>
        <v>5 - 6</v>
      </c>
      <c r="P34" s="73">
        <f>L34*3+M34</f>
        <v>4</v>
      </c>
      <c r="R34" s="58">
        <f>DATE(2018,6,23)+TIME(4,0,0)+gmt_delta</f>
        <v>43274.416666666664</v>
      </c>
      <c r="S34" s="65" t="str">
        <f t="shared" si="2"/>
        <v>Korea Republic_draw</v>
      </c>
      <c r="T34" s="65" t="str">
        <f t="shared" si="3"/>
        <v>Mexico_draw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0</v>
      </c>
      <c r="AA34" s="58">
        <f>COUNTIF(AN32:AN35,CONCATENATE("&gt;=",AN34))</f>
        <v>3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2</v>
      </c>
      <c r="AE34" s="58">
        <f>COUNTIF($S$7:$T$54,"=" &amp; AB34 &amp; "_lose")</f>
        <v>1</v>
      </c>
      <c r="AF34" s="58">
        <f>SUMIF($E$7:$E$54,$AB34,$F$7:$F$54) + SUMIF($H$7:$H$54,$AB34,$G$7:$G$54)</f>
        <v>5</v>
      </c>
      <c r="AG34" s="58">
        <f>SUMIF($E$7:$E$54,$AB34,$G$7:$G$54) + SUMIF($H$7:$H$54,$AB34,$F$7:$F$54)</f>
        <v>6</v>
      </c>
      <c r="AH34" s="58">
        <f>(AF34-AG34)*100+AK34*10000+AF34</f>
        <v>19905</v>
      </c>
      <c r="AI34" s="58">
        <f>AF34-AG34</f>
        <v>-1</v>
      </c>
      <c r="AJ34" s="58">
        <f>(AI34-AI37)/AI36</f>
        <v>0.22222222222222221</v>
      </c>
      <c r="AK34" s="58">
        <f>AC34*3+AD34</f>
        <v>2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251.5877265873016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Germany</v>
      </c>
      <c r="BA34" s="29">
        <v>3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3</v>
      </c>
      <c r="G35" s="24">
        <v>0</v>
      </c>
      <c r="H35" s="67" t="str">
        <f>AB46</f>
        <v>Tunisia</v>
      </c>
      <c r="J35" s="72" t="str">
        <f>VLOOKUP(3,AA32:AK35,2,FALSE)</f>
        <v>Costa Rica</v>
      </c>
      <c r="K35" s="27">
        <f>L35+M35+N35</f>
        <v>3</v>
      </c>
      <c r="L35" s="27">
        <f>VLOOKUP(3,AA32:AK35,3,FALSE)</f>
        <v>0</v>
      </c>
      <c r="M35" s="27">
        <f>VLOOKUP(3,AA32:AK35,4,FALSE)</f>
        <v>2</v>
      </c>
      <c r="N35" s="27">
        <f>VLOOKUP(3,AA32:AK35,5,FALSE)</f>
        <v>1</v>
      </c>
      <c r="O35" s="27" t="str">
        <f>VLOOKUP(3,AA32:AK35,6,FALSE) &amp; " - " &amp; VLOOKUP(3,AA32:AK35,7,FALSE)</f>
        <v>5 - 6</v>
      </c>
      <c r="P35" s="73">
        <f>L35*3+M35</f>
        <v>2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0</v>
      </c>
      <c r="AD35" s="58">
        <f>COUNTIF($S$7:$T$54,"=" &amp; AB35 &amp; "_draw")</f>
        <v>1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5</v>
      </c>
      <c r="AH35" s="58">
        <f>(AF35-AG35)*100+AK35*10000+AF35</f>
        <v>9702</v>
      </c>
      <c r="AI35" s="58">
        <f>AF35-AG35</f>
        <v>-3</v>
      </c>
      <c r="AJ35" s="58">
        <f>(AI35-AI37)/AI36</f>
        <v>0</v>
      </c>
      <c r="AK35" s="58">
        <f>AC35*3+AD35</f>
        <v>1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113.96863196825397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>
        <v>1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Brazil</v>
      </c>
      <c r="BS35" s="29">
        <v>2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2</v>
      </c>
      <c r="G36" s="24">
        <v>0</v>
      </c>
      <c r="H36" s="67" t="str">
        <f>AB45</f>
        <v>Panama</v>
      </c>
      <c r="J36" s="74" t="str">
        <f>VLOOKUP(4,AA32:AK35,2,FALSE)</f>
        <v>Serbia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4</v>
      </c>
      <c r="AD36" s="58">
        <f t="shared" si="14"/>
        <v>3</v>
      </c>
      <c r="AE36" s="58">
        <f t="shared" si="14"/>
        <v>3</v>
      </c>
      <c r="AF36" s="58">
        <f t="shared" si="14"/>
        <v>7</v>
      </c>
      <c r="AG36" s="58">
        <f t="shared" si="14"/>
        <v>4</v>
      </c>
      <c r="AH36" s="58">
        <f>MAX(AH32:AH35)-AH37+1</f>
        <v>80807</v>
      </c>
      <c r="AI36" s="58">
        <f>MAX(AI32:AI35)-AI37+1</f>
        <v>9</v>
      </c>
      <c r="AK36" s="58">
        <f t="shared" si="14"/>
        <v>9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Germany</v>
      </c>
      <c r="BG36" s="29">
        <v>3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Argentina</v>
      </c>
      <c r="BS36" s="32">
        <v>3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2</v>
      </c>
      <c r="G37" s="24">
        <v>1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Poland_win</v>
      </c>
      <c r="T37" s="65" t="str">
        <f t="shared" si="3"/>
        <v>Colombia_lose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Poland</v>
      </c>
      <c r="BG37" s="32">
        <v>0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3</v>
      </c>
      <c r="AD38" s="58">
        <f>COUNTIF($S$7:$T$54,"=" &amp; AB38 &amp; "_draw")</f>
        <v>0</v>
      </c>
      <c r="AE38" s="58">
        <f>COUNTIF($S$7:$T$54,"=" &amp; AB38 &amp; "_lose")</f>
        <v>0</v>
      </c>
      <c r="AF38" s="58">
        <f>SUMIF($E$7:$E$54,$AB38,$F$7:$F$54) + SUMIF($H$7:$H$54,$AB38,$G$7:$G$54)</f>
        <v>8</v>
      </c>
      <c r="AG38" s="58">
        <f>SUMIF($E$7:$E$54,$AB38,$G$7:$G$54) + SUMIF($H$7:$H$54,$AB38,$F$7:$F$54)</f>
        <v>0</v>
      </c>
      <c r="AH38" s="58">
        <f>(AF38-AG38)*100+AK38*10000+AF38</f>
        <v>90808</v>
      </c>
      <c r="AI38" s="58">
        <f>AF38-AG38</f>
        <v>8</v>
      </c>
      <c r="AJ38" s="58">
        <f>(AI38-AI43)/AI42</f>
        <v>0.92307692307692313</v>
      </c>
      <c r="AK38" s="58">
        <f>AC38*3+AD38</f>
        <v>9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1103.7370647362636</v>
      </c>
      <c r="AO38" s="60" t="str">
        <f>IF(SUM(AC38:AE41)=12,J39,INDEX(T,80,lang))</f>
        <v>Germany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Poland</v>
      </c>
      <c r="BA38" s="29">
        <v>2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2</v>
      </c>
      <c r="G39" s="24">
        <v>2</v>
      </c>
      <c r="H39" s="67" t="str">
        <f>AB8</f>
        <v>Russia</v>
      </c>
      <c r="J39" s="69" t="str">
        <f>VLOOKUP(1,AA38:AK41,2,FALSE)</f>
        <v>Germany</v>
      </c>
      <c r="K39" s="70">
        <f>L39+M39+N39</f>
        <v>3</v>
      </c>
      <c r="L39" s="70">
        <f>VLOOKUP(1,AA38:AK41,3,FALSE)</f>
        <v>3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8 - 0</v>
      </c>
      <c r="P39" s="71">
        <f>L39*3+M39</f>
        <v>9</v>
      </c>
      <c r="R39" s="58">
        <f>DATE(2018,6,25)+TIME(3,0,0)+gmt_delta</f>
        <v>43276.375</v>
      </c>
      <c r="S39" s="65" t="str">
        <f t="shared" si="2"/>
        <v>Uruguay_draw</v>
      </c>
      <c r="T39" s="65" t="str">
        <f t="shared" si="3"/>
        <v>Russia_draw</v>
      </c>
      <c r="U39" s="59">
        <f t="shared" si="4"/>
        <v>1</v>
      </c>
      <c r="V39" s="58">
        <f t="shared" si="5"/>
        <v>2</v>
      </c>
      <c r="W39" s="58">
        <f t="shared" si="6"/>
        <v>2</v>
      </c>
      <c r="X39" s="58">
        <f t="shared" si="7"/>
        <v>0</v>
      </c>
      <c r="Y39" s="58">
        <f t="shared" si="9"/>
        <v>0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1</v>
      </c>
      <c r="AD39" s="58">
        <f>COUNTIF($S$7:$T$54,"=" &amp; AB39 &amp; "_draw")</f>
        <v>1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5</v>
      </c>
      <c r="AH39" s="58">
        <f>(AF39-AG39)*100+AK39*10000+AF39</f>
        <v>39803</v>
      </c>
      <c r="AI39" s="58">
        <f>AF39-AG39</f>
        <v>-2</v>
      </c>
      <c r="AJ39" s="58">
        <f>(AI39-AI43)/AI42</f>
        <v>0.15384615384615385</v>
      </c>
      <c r="AK39" s="58">
        <f>AC39*3+AD39</f>
        <v>4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464.1152901147741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>
        <v>1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1</v>
      </c>
      <c r="G40" s="24">
        <v>2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1</v>
      </c>
      <c r="M40" s="27">
        <f>VLOOKUP(2,AA38:AK41,4,FALSE)</f>
        <v>1</v>
      </c>
      <c r="N40" s="27">
        <f>VLOOKUP(2,AA38:AK41,5,FALSE)</f>
        <v>1</v>
      </c>
      <c r="O40" s="27" t="str">
        <f>VLOOKUP(2,AA38:AK41,6,FALSE) &amp; " - " &amp; VLOOKUP(2,AA38:AK41,7,FALSE)</f>
        <v>3 - 5</v>
      </c>
      <c r="P40" s="73">
        <f>L40*3+M40</f>
        <v>4</v>
      </c>
      <c r="R40" s="58">
        <f>DATE(2018,6,25)+TIME(3,0,0)+gmt_delta</f>
        <v>43276.375</v>
      </c>
      <c r="S40" s="65" t="str">
        <f t="shared" si="2"/>
        <v>Saudi Arabia_lose</v>
      </c>
      <c r="T40" s="65" t="str">
        <f t="shared" si="3"/>
        <v>Egypt_win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-1</v>
      </c>
      <c r="AA40" s="58">
        <f>COUNTIF(AN38:AN41,CONCATENATE("&gt;=",AN40))</f>
        <v>4</v>
      </c>
      <c r="AB40" s="59" t="str">
        <f>VLOOKUP("Sweden",T,lang,FALSE)</f>
        <v>Sweden</v>
      </c>
      <c r="AC40" s="58">
        <f>COUNTIF($S$7:$T$54,"=" &amp; AB40 &amp; "_win")</f>
        <v>0</v>
      </c>
      <c r="AD40" s="58">
        <f>COUNTIF($S$7:$T$54,"=" &amp; AB40 &amp; "_draw")</f>
        <v>1</v>
      </c>
      <c r="AE40" s="58">
        <f>COUNTIF($S$7:$T$54,"=" &amp; AB40 &amp; "_lose")</f>
        <v>2</v>
      </c>
      <c r="AF40" s="58">
        <f>SUMIF($E$7:$E$54,$AB40,$F$7:$F$54) + SUMIF($H$7:$H$54,$AB40,$G$7:$G$54)</f>
        <v>2</v>
      </c>
      <c r="AG40" s="58">
        <f>SUMIF($E$7:$E$54,$AB40,$G$7:$G$54) + SUMIF($H$7:$H$54,$AB40,$F$7:$F$54)</f>
        <v>4</v>
      </c>
      <c r="AH40" s="58">
        <f>(AF40-AG40)*100+AK40*10000+AF40</f>
        <v>9802</v>
      </c>
      <c r="AI40" s="58">
        <f>AF40-AG40</f>
        <v>-2</v>
      </c>
      <c r="AJ40" s="58">
        <f>(AI40-AI43)/AI42</f>
        <v>0.15384615384615385</v>
      </c>
      <c r="AK40" s="58">
        <f>AC40*3+AD40</f>
        <v>1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129.35336835286935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0</v>
      </c>
      <c r="G41" s="24">
        <v>2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0</v>
      </c>
      <c r="M41" s="27">
        <f>VLOOKUP(3,AA38:AK41,4,FALSE)</f>
        <v>2</v>
      </c>
      <c r="N41" s="27">
        <f>VLOOKUP(3,AA38:AK41,5,FALSE)</f>
        <v>1</v>
      </c>
      <c r="O41" s="27" t="str">
        <f>VLOOKUP(3,AA38:AK41,6,FALSE) &amp; " - " &amp; VLOOKUP(3,AA38:AK41,7,FALSE)</f>
        <v>2 - 6</v>
      </c>
      <c r="P41" s="73">
        <f>L41*3+M41</f>
        <v>2</v>
      </c>
      <c r="R41" s="58">
        <f>DATE(2018,6,25)+TIME(7,0,0)+gmt_delta</f>
        <v>43276.541666666664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2</v>
      </c>
      <c r="AE41" s="58">
        <f>COUNTIF($S$7:$T$54,"=" &amp; AB41 &amp; "_lose")</f>
        <v>1</v>
      </c>
      <c r="AF41" s="58">
        <f>SUMIF($E$7:$E$54,$AB41,$F$7:$F$54) + SUMIF($H$7:$H$54,$AB41,$G$7:$G$54)</f>
        <v>2</v>
      </c>
      <c r="AG41" s="58">
        <f>SUMIF($E$7:$E$54,$AB41,$G$7:$G$54) + SUMIF($H$7:$H$54,$AB41,$F$7:$F$54)</f>
        <v>6</v>
      </c>
      <c r="AH41" s="58">
        <f>(AF41-AG41)*100+AK41*10000+AF41</f>
        <v>19602</v>
      </c>
      <c r="AI41" s="58">
        <f>AF41-AG41</f>
        <v>-4</v>
      </c>
      <c r="AJ41" s="58">
        <f>(AI41-AI43)/AI42</f>
        <v>0</v>
      </c>
      <c r="AK41" s="58">
        <f>AC41*3+AD41</f>
        <v>2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225.07965007936508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>France</v>
      </c>
      <c r="BP41" s="122"/>
      <c r="BQ41" s="122"/>
      <c r="BR41" s="122"/>
      <c r="BS41" s="122"/>
      <c r="BT41" s="122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0</v>
      </c>
      <c r="H42" s="67" t="str">
        <f>AB16</f>
        <v>Morocco</v>
      </c>
      <c r="J42" s="74" t="str">
        <f>VLOOKUP(4,AA38:AK41,2,FALSE)</f>
        <v>Sweden</v>
      </c>
      <c r="K42" s="75">
        <f>L42+M42+N42</f>
        <v>3</v>
      </c>
      <c r="L42" s="75">
        <f>VLOOKUP(4,AA38:AK41,3,FALSE)</f>
        <v>0</v>
      </c>
      <c r="M42" s="75">
        <f>VLOOKUP(4,AA38:AK41,4,FALSE)</f>
        <v>1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1</v>
      </c>
      <c r="R42" s="58">
        <f>DATE(2018,6,25)+TIME(7,0,0)+gmt_delta</f>
        <v>43276.541666666664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1</v>
      </c>
      <c r="AC42" s="58">
        <f t="shared" ref="AC42:AL42" si="15">MAX(AC38:AC41)-MIN(AC38:AC41)+1</f>
        <v>4</v>
      </c>
      <c r="AD42" s="58">
        <f t="shared" si="15"/>
        <v>3</v>
      </c>
      <c r="AE42" s="58">
        <f t="shared" si="15"/>
        <v>3</v>
      </c>
      <c r="AF42" s="58">
        <f t="shared" si="15"/>
        <v>7</v>
      </c>
      <c r="AG42" s="58">
        <f t="shared" si="15"/>
        <v>7</v>
      </c>
      <c r="AH42" s="58">
        <f>MAX(AH38:AH41)-AH43+1</f>
        <v>81007</v>
      </c>
      <c r="AI42" s="58">
        <f>MAX(AI38:AI41)-AI43+1</f>
        <v>13</v>
      </c>
      <c r="AK42" s="58">
        <f t="shared" si="15"/>
        <v>9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1</v>
      </c>
      <c r="G43" s="24">
        <v>3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Denmark_lose</v>
      </c>
      <c r="T43" s="65" t="str">
        <f t="shared" si="3"/>
        <v>France_win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-1</v>
      </c>
      <c r="AH43" s="58">
        <f>MIN(AH38:AH41)</f>
        <v>9802</v>
      </c>
      <c r="AI43" s="58">
        <f>MIN(AI38:AI41)</f>
        <v>-4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1</v>
      </c>
      <c r="G44" s="24">
        <v>1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Australia_draw</v>
      </c>
      <c r="T44" s="65" t="str">
        <f t="shared" si="3"/>
        <v>Peru_draw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0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0</v>
      </c>
      <c r="AH44" s="58">
        <f>(AF44-AG44)*100+AK44*10000+AF44</f>
        <v>90808</v>
      </c>
      <c r="AI44" s="58">
        <f>AF44-AG44</f>
        <v>8</v>
      </c>
      <c r="AJ44" s="58">
        <f>(AI44-AI49)/AI48</f>
        <v>0.93333333333333335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1103.3339958333333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8 - 0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1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7</v>
      </c>
      <c r="AH45" s="58">
        <f>(AF45-AG45)*100+AK45*10000+AF45</f>
        <v>9401</v>
      </c>
      <c r="AI45" s="58">
        <f>AF45-AG45</f>
        <v>-6</v>
      </c>
      <c r="AJ45" s="58">
        <f>(AI45-AI49)/AI48</f>
        <v>0</v>
      </c>
      <c r="AK45" s="58">
        <f>AC45*3+AD45</f>
        <v>1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112.36142161111111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2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1</v>
      </c>
      <c r="M46" s="27">
        <f>VLOOKUP(2,AA44:AK47,4,FALSE)</f>
        <v>1</v>
      </c>
      <c r="N46" s="27">
        <f>VLOOKUP(2,AA44:AK47,5,FALSE)</f>
        <v>1</v>
      </c>
      <c r="O46" s="27" t="str">
        <f>VLOOKUP(2,AA44:AK47,6,FALSE) &amp; " - " &amp; VLOOKUP(2,AA44:AK47,7,FALSE)</f>
        <v>2 - 1</v>
      </c>
      <c r="P46" s="73">
        <f>L46*3+M46</f>
        <v>4</v>
      </c>
      <c r="R46" s="58">
        <f>DATE(2018,6,26)+TIME(7,0,0)+gmt_delta</f>
        <v>43277.541666666664</v>
      </c>
      <c r="S46" s="65" t="str">
        <f t="shared" si="2"/>
        <v>Iceland_draw</v>
      </c>
      <c r="T46" s="65" t="str">
        <f t="shared" si="3"/>
        <v>Croatia_draw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0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2</v>
      </c>
      <c r="AE46" s="58">
        <f>COUNTIF($S$7:$T$54,"=" &amp; AB46 &amp; "_lose")</f>
        <v>1</v>
      </c>
      <c r="AF46" s="58">
        <f>SUMIF($E$7:$E$54,$AB46,$F$7:$F$54) + SUMIF($H$7:$H$54,$AB46,$G$7:$G$54)</f>
        <v>1</v>
      </c>
      <c r="AG46" s="58">
        <f>SUMIF($E$7:$E$54,$AB46,$G$7:$G$54) + SUMIF($H$7:$H$54,$AB46,$F$7:$F$54)</f>
        <v>4</v>
      </c>
      <c r="AH46" s="58">
        <f>(AF46-AG46)*100+AK46*10000+AF46</f>
        <v>19701</v>
      </c>
      <c r="AI46" s="58">
        <f>AF46-AG46</f>
        <v>-3</v>
      </c>
      <c r="AJ46" s="58">
        <f>(AI46-AI49)/AI48</f>
        <v>0.2</v>
      </c>
      <c r="AK46" s="58">
        <f>AC46*3+AD46</f>
        <v>2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243.47264122222222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2223</v>
      </c>
      <c r="AZ46" s="110"/>
      <c r="BA46" s="110"/>
      <c r="BB46" s="111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0</v>
      </c>
      <c r="M47" s="27">
        <f>VLOOKUP(3,AA44:AK47,4,FALSE)</f>
        <v>2</v>
      </c>
      <c r="N47" s="27">
        <f>VLOOKUP(3,AA44:AK47,5,FALSE)</f>
        <v>1</v>
      </c>
      <c r="O47" s="27" t="str">
        <f>VLOOKUP(3,AA44:AK47,6,FALSE) &amp; " - " &amp; VLOOKUP(3,AA44:AK47,7,FALSE)</f>
        <v>1 - 4</v>
      </c>
      <c r="P47" s="73">
        <f>L47*3+M47</f>
        <v>2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1</v>
      </c>
      <c r="AD47" s="58">
        <f>COUNTIF($S$7:$T$54,"=" &amp; AB47 &amp; "_draw")</f>
        <v>1</v>
      </c>
      <c r="AE47" s="58">
        <f>COUNTIF($S$7:$T$54,"=" &amp; AB47 &amp; "_lose")</f>
        <v>1</v>
      </c>
      <c r="AF47" s="58">
        <f>SUMIF($E$7:$E$54,$AB47,$F$7:$F$54) + SUMIF($H$7:$H$54,$AB47,$G$7:$G$54)</f>
        <v>2</v>
      </c>
      <c r="AG47" s="58">
        <f>SUMIF($E$7:$E$54,$AB47,$G$7:$G$54) + SUMIF($H$7:$H$54,$AB47,$F$7:$F$54)</f>
        <v>1</v>
      </c>
      <c r="AH47" s="58">
        <f>(AF47-AG47)*100+AK47*10000+AF47</f>
        <v>40102</v>
      </c>
      <c r="AI47" s="58">
        <f>AF47-AG47</f>
        <v>1</v>
      </c>
      <c r="AJ47" s="58">
        <f>(AI47-AI49)/AI48</f>
        <v>0.46666666666666667</v>
      </c>
      <c r="AK47" s="58">
        <f>AC47*3+AD47</f>
        <v>4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493.61163461111113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1</v>
      </c>
      <c r="N48" s="75">
        <f>VLOOKUP(4,AA44:AK47,5,FALSE)</f>
        <v>2</v>
      </c>
      <c r="O48" s="75" t="str">
        <f>VLOOKUP(4,AA44:AK47,6,FALSE) &amp; " - " &amp; VLOOKUP(4,AA44:AK47,7,FALSE)</f>
        <v>1 - 7</v>
      </c>
      <c r="P48" s="76">
        <f>L48*3+M48</f>
        <v>1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3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81408</v>
      </c>
      <c r="AI48" s="58">
        <f>MAX(AI44:AI47)-AI49+1</f>
        <v>15</v>
      </c>
      <c r="AK48" s="58">
        <f t="shared" si="16"/>
        <v>9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0</v>
      </c>
      <c r="G49" s="24">
        <v>4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1</v>
      </c>
      <c r="Y49" s="58">
        <f t="shared" si="9"/>
        <v>-1</v>
      </c>
      <c r="AH49" s="58">
        <f>MIN(AH44:AH47)</f>
        <v>9401</v>
      </c>
      <c r="AI49" s="58">
        <f>MIN(AI44:AI47)</f>
        <v>-6</v>
      </c>
      <c r="AY49" s="112"/>
      <c r="AZ49" s="113"/>
      <c r="BA49" s="113"/>
      <c r="BB49" s="114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2</v>
      </c>
      <c r="G50" s="24">
        <v>1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Mexico_win</v>
      </c>
      <c r="T50" s="65" t="str">
        <f t="shared" si="3"/>
        <v>Sweden_lose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1</v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2</v>
      </c>
      <c r="AD50" s="58">
        <f>COUNTIF($S$7:$T$54,"=" &amp; AB50 &amp; "_draw")</f>
        <v>1</v>
      </c>
      <c r="AE50" s="58">
        <f>COUNTIF($S$7:$T$54,"=" &amp; AB50 &amp; "_lose")</f>
        <v>0</v>
      </c>
      <c r="AF50" s="58">
        <f>SUMIF($E$7:$E$54,$AB50,$F$7:$F$54) + SUMIF($H$7:$H$54,$AB50,$G$7:$G$54)</f>
        <v>5</v>
      </c>
      <c r="AG50" s="58">
        <f>SUMIF($E$7:$E$54,$AB50,$G$7:$G$54) + SUMIF($H$7:$H$54,$AB50,$F$7:$F$54)</f>
        <v>2</v>
      </c>
      <c r="AH50" s="58">
        <f>(AF50-AG50)*100+AK50*10000+AF50</f>
        <v>70305</v>
      </c>
      <c r="AI50" s="58">
        <f>AF50-AG50</f>
        <v>3</v>
      </c>
      <c r="AJ50" s="58">
        <f>(AI50-AI55)/AI54</f>
        <v>0.83333333333333337</v>
      </c>
      <c r="AK50" s="58">
        <f>AC50*3+AD50</f>
        <v>7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1266.6672711666668</v>
      </c>
      <c r="AO50" s="60" t="str">
        <f>IF(SUM(AC50:AE53)=12,J51,INDEX(T,84,lang))</f>
        <v>Poland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Poland</v>
      </c>
      <c r="K51" s="70">
        <f>L51+M51+N51</f>
        <v>3</v>
      </c>
      <c r="L51" s="70">
        <f>VLOOKUP(1,AA50:AK53,3,FALSE)</f>
        <v>2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5 - 2</v>
      </c>
      <c r="P51" s="71">
        <f>L51*3+M51</f>
        <v>7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2</v>
      </c>
      <c r="AE51" s="58">
        <f>COUNTIF($S$7:$T$54,"=" &amp; AB51 &amp; "_lose")</f>
        <v>1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6</v>
      </c>
      <c r="AH51" s="58">
        <f>(AF51-AG51)*100+AK51*10000+AF51</f>
        <v>19804</v>
      </c>
      <c r="AI51" s="58">
        <f>AF51-AG51</f>
        <v>-2</v>
      </c>
      <c r="AJ51" s="58">
        <f>(AI51-AI55)/AI54</f>
        <v>0</v>
      </c>
      <c r="AK51" s="58">
        <f>AC51*3+AD51</f>
        <v>2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346.66710866666665</v>
      </c>
      <c r="AO51" s="60" t="str">
        <f>IF(SUM(AC50:AE53)=12,J52,INDEX(T,85,lang))</f>
        <v>Colombia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1</v>
      </c>
      <c r="H52" s="67" t="str">
        <f>AB46</f>
        <v>Tunisia</v>
      </c>
      <c r="J52" s="72" t="str">
        <f>VLOOKUP(2,AA50:AK53,2,FALSE)</f>
        <v>Colombia</v>
      </c>
      <c r="K52" s="27">
        <f>L52+M52+N52</f>
        <v>3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4</v>
      </c>
      <c r="R52" s="58">
        <f>DATE(2018,6,28)+TIME(7,0,0)+gmt_delta</f>
        <v>43279.541666666664</v>
      </c>
      <c r="S52" s="65" t="str">
        <f t="shared" si="2"/>
        <v>Panama_draw</v>
      </c>
      <c r="T52" s="65" t="str">
        <f t="shared" si="3"/>
        <v>Tunisia_draw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0</v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1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4</v>
      </c>
      <c r="AH52" s="58">
        <f>(AF52-AG52)*100+AK52*10000+AF52</f>
        <v>40105</v>
      </c>
      <c r="AI52" s="58">
        <f>AF52-AG52</f>
        <v>1</v>
      </c>
      <c r="AJ52" s="58">
        <f>(AI52-AI55)/AI54</f>
        <v>0.5</v>
      </c>
      <c r="AK52" s="58">
        <f>AC52*3+AD52</f>
        <v>4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733.33387233333326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1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0</v>
      </c>
      <c r="M53" s="27">
        <f>VLOOKUP(3,AA50:AK53,4,FALSE)</f>
        <v>2</v>
      </c>
      <c r="N53" s="27">
        <f>VLOOKUP(3,AA50:AK53,5,FALSE)</f>
        <v>1</v>
      </c>
      <c r="O53" s="27" t="str">
        <f>VLOOKUP(3,AA50:AK53,6,FALSE) &amp; " - " &amp; VLOOKUP(3,AA50:AK53,7,FALSE)</f>
        <v>4 - 6</v>
      </c>
      <c r="P53" s="73">
        <f>L53*3+M53</f>
        <v>2</v>
      </c>
      <c r="R53" s="58">
        <f>DATE(2018,6,28)+TIME(3,0,0)+gmt_delta</f>
        <v>43279.375</v>
      </c>
      <c r="S53" s="65" t="str">
        <f t="shared" si="2"/>
        <v>Japan_draw</v>
      </c>
      <c r="T53" s="65" t="str">
        <f t="shared" si="3"/>
        <v>Poland_draw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0</v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2</v>
      </c>
      <c r="AE53" s="58">
        <f>COUNTIF($S$7:$T$54,"=" &amp; AB53 &amp; "_lose")</f>
        <v>1</v>
      </c>
      <c r="AF53" s="58">
        <f>SUMIF($E$7:$E$54,$AB53,$F$7:$F$54) + SUMIF($H$7:$H$54,$AB53,$G$7:$G$54)</f>
        <v>3</v>
      </c>
      <c r="AG53" s="58">
        <f>SUMIF($E$7:$E$54,$AB53,$G$7:$G$54) + SUMIF($H$7:$H$54,$AB53,$F$7:$F$54)</f>
        <v>5</v>
      </c>
      <c r="AH53" s="58">
        <f>(AF53-AG53)*100+AK53*10000+AF53</f>
        <v>19803</v>
      </c>
      <c r="AI53" s="58">
        <f>AF53-AG53</f>
        <v>-2</v>
      </c>
      <c r="AJ53" s="58">
        <f>(AI53-AI55)/AI54</f>
        <v>0</v>
      </c>
      <c r="AK53" s="58">
        <f>AC53*3+AD53</f>
        <v>2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343.3336333333333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2</v>
      </c>
      <c r="G54" s="33">
        <v>2</v>
      </c>
      <c r="H54" s="68" t="str">
        <f>AB52</f>
        <v>Colombia</v>
      </c>
      <c r="J54" s="74" t="str">
        <f>VLOOKUP(4,AA50:AK53,2,FALSE)</f>
        <v>Japan</v>
      </c>
      <c r="K54" s="75">
        <f>L54+M54+N54</f>
        <v>3</v>
      </c>
      <c r="L54" s="75">
        <f>VLOOKUP(4,AA50:AK53,3,FALSE)</f>
        <v>0</v>
      </c>
      <c r="M54" s="75">
        <f>VLOOKUP(4,AA50:AK53,4,FALSE)</f>
        <v>2</v>
      </c>
      <c r="N54" s="75">
        <f>VLOOKUP(4,AA50:AK53,5,FALSE)</f>
        <v>1</v>
      </c>
      <c r="O54" s="75" t="str">
        <f>VLOOKUP(4,AA50:AK53,6,FALSE) &amp; " - " &amp; VLOOKUP(4,AA50:AK53,7,FALSE)</f>
        <v>3 - 5</v>
      </c>
      <c r="P54" s="76">
        <f>L54*3+M54</f>
        <v>2</v>
      </c>
      <c r="R54" s="58">
        <f>DATE(2018,6,28)+TIME(3,0,0)+gmt_delta</f>
        <v>43279.375</v>
      </c>
      <c r="S54" s="65" t="str">
        <f t="shared" si="2"/>
        <v>Senegal_draw</v>
      </c>
      <c r="T54" s="65" t="str">
        <f t="shared" si="3"/>
        <v>Colombia_draw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0</v>
      </c>
      <c r="AC54" s="58">
        <f t="shared" ref="AC54:AL54" si="17">MAX(AC50:AC53)-MIN(AC50:AC53)+1</f>
        <v>3</v>
      </c>
      <c r="AD54" s="58">
        <f t="shared" si="17"/>
        <v>2</v>
      </c>
      <c r="AE54" s="58">
        <f t="shared" si="17"/>
        <v>2</v>
      </c>
      <c r="AF54" s="58">
        <f t="shared" si="17"/>
        <v>3</v>
      </c>
      <c r="AG54" s="58">
        <f t="shared" si="17"/>
        <v>5</v>
      </c>
      <c r="AH54" s="58">
        <f>MAX(AH50:AH53)-AH55+1</f>
        <v>50503</v>
      </c>
      <c r="AI54" s="58">
        <f>MAX(AI50:AI53)-AI55+1</f>
        <v>6</v>
      </c>
      <c r="AK54" s="58">
        <f t="shared" si="17"/>
        <v>6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19803</v>
      </c>
      <c r="AI55" s="58">
        <f>MIN(AI50:AI53)</f>
        <v>-2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Spain</v>
      </c>
      <c r="T58" s="65" t="str">
        <f>IF(OR(S58="",S58="draw"),INDEX(T,86,lang),S58)</f>
        <v>Spain</v>
      </c>
    </row>
    <row r="59" spans="1:54" ht="12.75" customHeight="1" x14ac:dyDescent="0.2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2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Portugal</v>
      </c>
      <c r="T60" s="65" t="str">
        <f>IF(OR(S60="",S60="draw"),INDEX(T,88,lang),S60)</f>
        <v>Portugal</v>
      </c>
    </row>
    <row r="61" spans="1:54" ht="12.75" customHeight="1" x14ac:dyDescent="0.2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Argentina</v>
      </c>
      <c r="T61" s="65" t="str">
        <f>IF(OR(S61="",S61="draw"),INDEX(T,89,lang),S61)</f>
        <v>Argentina</v>
      </c>
    </row>
    <row r="62" spans="1:54" ht="12.75" customHeight="1" x14ac:dyDescent="0.2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Germany</v>
      </c>
      <c r="T64" s="65" t="str">
        <f>IF(OR(S64="",S64="draw"),INDEX(T,92,lang),S64)</f>
        <v>Germany</v>
      </c>
    </row>
    <row r="65" spans="18:26" ht="12.75" customHeight="1" x14ac:dyDescent="0.2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Poland</v>
      </c>
      <c r="T65" s="65" t="str">
        <f>IF(OR(S65="",S65="draw"),INDEX(T,93,lang),S65)</f>
        <v>Poland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France</v>
      </c>
      <c r="T69" s="65" t="str">
        <f>IF(OR(S69="",S69="draw"),INDEX(T,94,lang),S69)</f>
        <v>France</v>
      </c>
    </row>
    <row r="70" spans="18:26" ht="12.75" customHeight="1" x14ac:dyDescent="0.2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2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Argentina</v>
      </c>
      <c r="T71" s="65" t="str">
        <f>IF(OR(S71="",S71="draw"),INDEX(T,96,lang),S71)</f>
        <v>Argentina</v>
      </c>
    </row>
    <row r="72" spans="18:26" ht="12.75" customHeight="1" x14ac:dyDescent="0.2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Germany</v>
      </c>
      <c r="T72" s="65" t="str">
        <f>IF(OR(S72="",S72="draw"),INDEX(T,97,lang),S72)</f>
        <v>Germany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France</v>
      </c>
      <c r="T76" s="65" t="str">
        <f>IF(OR(S76="",S76="draw"),INDEX(T,98,lang),S76)</f>
        <v>France</v>
      </c>
      <c r="U76" s="65" t="str">
        <f>IF(OR(BM16="",BM17=""),"",IF(BM16&lt;BM17,BL16,IF(BM16&gt;BM17,BL17,IF(OR(BN16="",BN17=""),"draw",IF(BN16&lt;BN17,BL16,IF(BN16&gt;BN17,BL17,"draw"))))))</f>
        <v>Brazil</v>
      </c>
      <c r="Z76" s="65" t="str">
        <f>IF(OR(U76="",U76="draw"),INDEX(T,100,lang),U76)</f>
        <v>Brazil</v>
      </c>
    </row>
    <row r="77" spans="18:26" ht="12.75" customHeight="1" x14ac:dyDescent="0.2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Germany</v>
      </c>
      <c r="T77" s="65" t="str">
        <f>IF(OR(S77="",S77="draw"),INDEX(T,99,lang),S77)</f>
        <v>Germany</v>
      </c>
      <c r="U77" s="65" t="str">
        <f>IF(OR(BM32="",BM33=""),"",IF(BM32&lt;BM33,BL32,IF(BM32&gt;BM33,BL33,IF(OR(BN32="",BN33=""),"draw",IF(BN32&lt;BN33,BL32,IF(BN32&gt;BN33,BL33,"draw"))))))</f>
        <v>Argentina</v>
      </c>
      <c r="Z77" s="65" t="str">
        <f>IF(OR(U77="",U77="draw"),INDEX(T,101,lang),U77)</f>
        <v>Argentina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Argentina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France</v>
      </c>
      <c r="T85" s="65" t="str">
        <f>S85</f>
        <v>France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Mo Li</cp:lastModifiedBy>
  <cp:lastPrinted>2018-01-03T15:36:04Z</cp:lastPrinted>
  <dcterms:created xsi:type="dcterms:W3CDTF">2017-12-27T19:32:51Z</dcterms:created>
  <dcterms:modified xsi:type="dcterms:W3CDTF">2018-06-15T14:48:45Z</dcterms:modified>
</cp:coreProperties>
</file>