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wc2018\input\"/>
    </mc:Choice>
  </mc:AlternateContent>
  <bookViews>
    <workbookView xWindow="0" yWindow="0" windowWidth="17970" windowHeight="5955" firstSheet="1" activeTab="2"/>
  </bookViews>
  <sheets>
    <sheet name="T" sheetId="1" state="hidden" r:id="rId1"/>
    <sheet name="Settings" sheetId="2" r:id="rId2"/>
    <sheet name="2018 World Cup" sheetId="3" r:id="rId3"/>
  </sheets>
  <definedNames>
    <definedName name="db_fifarank">Settings!$B$17:$C$48</definedName>
    <definedName name="gmt_delta">Settings!$G$16</definedName>
    <definedName name="lang">Settings!$G$15</definedName>
    <definedName name="lang_list">T!$1:$1</definedName>
    <definedName name="my_team">Settings!$I$15</definedName>
    <definedName name="T">T!$1:$1048576</definedName>
    <definedName name="teams">Settings!$I$17:$I$48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2" i="3" l="1"/>
  <c r="R71" i="3"/>
  <c r="Y54" i="3" l="1"/>
  <c r="O3" i="3"/>
  <c r="Y22" i="3" l="1"/>
  <c r="Y21" i="3"/>
  <c r="Y25" i="3"/>
  <c r="Y34" i="3"/>
  <c r="Y30" i="3"/>
  <c r="Y26" i="3"/>
  <c r="Y33" i="3"/>
  <c r="Y50" i="3"/>
  <c r="Y46" i="3"/>
  <c r="Y38" i="3"/>
  <c r="Y8" i="3"/>
  <c r="Y53" i="3"/>
  <c r="Y49" i="3"/>
  <c r="Y45" i="3"/>
  <c r="Y41" i="3"/>
  <c r="Y42" i="3"/>
  <c r="Y18" i="3"/>
  <c r="Y14" i="3"/>
  <c r="Y47" i="3"/>
  <c r="Y10" i="3"/>
  <c r="Y7" i="3"/>
  <c r="Y13" i="3"/>
  <c r="Y29" i="3"/>
  <c r="Y17" i="3"/>
  <c r="Y23" i="3"/>
  <c r="Y39" i="3"/>
  <c r="Y40" i="3"/>
  <c r="Y37" i="3"/>
  <c r="Y31" i="3"/>
  <c r="Y12" i="3"/>
  <c r="Y16" i="3"/>
  <c r="Y20" i="3"/>
  <c r="Y24" i="3"/>
  <c r="Y28" i="3"/>
  <c r="Y32" i="3"/>
  <c r="Y36" i="3"/>
  <c r="Y44" i="3"/>
  <c r="Y48" i="3"/>
  <c r="Y15" i="3"/>
  <c r="Y52" i="3"/>
  <c r="Y9" i="3"/>
  <c r="Y11" i="3"/>
  <c r="Y19" i="3"/>
  <c r="Y27" i="3"/>
  <c r="Y35" i="3"/>
  <c r="Y43" i="3"/>
  <c r="Y51" i="3"/>
  <c r="S85" i="3"/>
  <c r="T85" i="3" s="1"/>
  <c r="T81" i="3"/>
  <c r="U77" i="3"/>
  <c r="S77" i="3"/>
  <c r="U76" i="3"/>
  <c r="S76" i="3"/>
  <c r="S72" i="3"/>
  <c r="S71" i="3"/>
  <c r="S70" i="3"/>
  <c r="S69" i="3"/>
  <c r="S63" i="3"/>
  <c r="S62" i="3"/>
  <c r="S61" i="3"/>
  <c r="S60" i="3"/>
  <c r="S59" i="3"/>
  <c r="S58" i="3"/>
  <c r="G48" i="2"/>
  <c r="G16" i="2"/>
  <c r="G15" i="2"/>
  <c r="AB21" i="3" s="1"/>
  <c r="L20" i="3" l="1"/>
  <c r="BQ34" i="3"/>
  <c r="AY37" i="3"/>
  <c r="BQ22" i="3"/>
  <c r="AY33" i="3"/>
  <c r="BK31" i="3"/>
  <c r="AY29" i="3"/>
  <c r="BE19" i="3"/>
  <c r="BK15" i="3"/>
  <c r="AY25" i="3"/>
  <c r="BE11" i="3"/>
  <c r="AY21" i="3"/>
  <c r="AY17" i="3"/>
  <c r="AY9" i="3"/>
  <c r="BE27" i="3"/>
  <c r="AY13" i="3"/>
  <c r="BE35" i="3"/>
  <c r="R28" i="3"/>
  <c r="R69" i="3"/>
  <c r="R58" i="3"/>
  <c r="R77" i="3"/>
  <c r="R70" i="3"/>
  <c r="R85" i="3"/>
  <c r="R65" i="3"/>
  <c r="R63" i="3"/>
  <c r="R81" i="3"/>
  <c r="R64" i="3"/>
  <c r="R60" i="3"/>
  <c r="R76" i="3"/>
  <c r="R62" i="3"/>
  <c r="R61" i="3"/>
  <c r="R59" i="3"/>
  <c r="R51" i="3"/>
  <c r="R43" i="3"/>
  <c r="R35" i="3"/>
  <c r="R42" i="3"/>
  <c r="R34" i="3"/>
  <c r="R33" i="3"/>
  <c r="B33" i="3" s="1"/>
  <c r="R48" i="3"/>
  <c r="B48" i="3" s="1"/>
  <c r="R40" i="3"/>
  <c r="R50" i="3"/>
  <c r="R44" i="3"/>
  <c r="R49" i="3"/>
  <c r="R41" i="3"/>
  <c r="B41" i="3" s="1"/>
  <c r="R32" i="3"/>
  <c r="R47" i="3"/>
  <c r="C47" i="3" s="1"/>
  <c r="R39" i="3"/>
  <c r="D39" i="3" s="1"/>
  <c r="R31" i="3"/>
  <c r="R36" i="3"/>
  <c r="R54" i="3"/>
  <c r="R46" i="3"/>
  <c r="R38" i="3"/>
  <c r="B38" i="3" s="1"/>
  <c r="R30" i="3"/>
  <c r="R53" i="3"/>
  <c r="R45" i="3"/>
  <c r="R37" i="3"/>
  <c r="R29" i="3"/>
  <c r="R52" i="3"/>
  <c r="T72" i="3"/>
  <c r="BL33" i="3" s="1"/>
  <c r="T61" i="3"/>
  <c r="BF29" i="3" s="1"/>
  <c r="P8" i="3"/>
  <c r="BQ6" i="3"/>
  <c r="P44" i="3"/>
  <c r="P38" i="3"/>
  <c r="AB9" i="3"/>
  <c r="E40" i="3" s="1"/>
  <c r="S40" i="3" s="1"/>
  <c r="AB33" i="3"/>
  <c r="E48" i="3" s="1"/>
  <c r="S48" i="3" s="1"/>
  <c r="AB44" i="3"/>
  <c r="E19" i="3" s="1"/>
  <c r="AB52" i="3"/>
  <c r="H37" i="3" s="1"/>
  <c r="I15" i="2"/>
  <c r="J14" i="3"/>
  <c r="K32" i="3"/>
  <c r="B31" i="2"/>
  <c r="B34" i="2"/>
  <c r="K14" i="3"/>
  <c r="M20" i="3"/>
  <c r="J26" i="3"/>
  <c r="L32" i="3"/>
  <c r="BJ41" i="3"/>
  <c r="J50" i="3"/>
  <c r="T62" i="3"/>
  <c r="BF20" i="3" s="1"/>
  <c r="T76" i="3"/>
  <c r="BR23" i="3" s="1"/>
  <c r="AB10" i="3"/>
  <c r="E8" i="3" s="1"/>
  <c r="AB22" i="3"/>
  <c r="H44" i="3" s="1"/>
  <c r="AB34" i="3"/>
  <c r="H31" i="3" s="1"/>
  <c r="AB45" i="3"/>
  <c r="E52" i="3" s="1"/>
  <c r="B17" i="2"/>
  <c r="J8" i="3"/>
  <c r="L14" i="3"/>
  <c r="K26" i="3"/>
  <c r="M32" i="3"/>
  <c r="J38" i="3"/>
  <c r="J44" i="3"/>
  <c r="T63" i="3"/>
  <c r="BF21" i="3" s="1"/>
  <c r="Z76" i="3"/>
  <c r="BR35" i="3" s="1"/>
  <c r="AB11" i="3"/>
  <c r="H8" i="3" s="1"/>
  <c r="AB23" i="3"/>
  <c r="AB35" i="3"/>
  <c r="AB46" i="3"/>
  <c r="B39" i="2"/>
  <c r="K8" i="3"/>
  <c r="M14" i="3"/>
  <c r="O20" i="3"/>
  <c r="L26" i="3"/>
  <c r="N32" i="3"/>
  <c r="K38" i="3"/>
  <c r="K44" i="3"/>
  <c r="L50" i="3"/>
  <c r="T77" i="3"/>
  <c r="BR24" i="3" s="1"/>
  <c r="AB14" i="3"/>
  <c r="AB26" i="3"/>
  <c r="AB38" i="3"/>
  <c r="AB47" i="3"/>
  <c r="H20" i="3" s="1"/>
  <c r="B37" i="2"/>
  <c r="N20" i="3"/>
  <c r="K50" i="3"/>
  <c r="B20" i="2"/>
  <c r="A5" i="3"/>
  <c r="L8" i="3"/>
  <c r="N14" i="3"/>
  <c r="P20" i="3"/>
  <c r="M26" i="3"/>
  <c r="O32" i="3"/>
  <c r="L38" i="3"/>
  <c r="L44" i="3"/>
  <c r="M50" i="3"/>
  <c r="Z77" i="3"/>
  <c r="BR36" i="3" s="1"/>
  <c r="AB15" i="3"/>
  <c r="AB27" i="3"/>
  <c r="H13" i="3" s="1"/>
  <c r="AB39" i="3"/>
  <c r="H17" i="3" s="1"/>
  <c r="AB50" i="3"/>
  <c r="H53" i="3" s="1"/>
  <c r="H11" i="3"/>
  <c r="E44" i="3"/>
  <c r="S44" i="3" s="1"/>
  <c r="H28" i="3"/>
  <c r="B19" i="2"/>
  <c r="B23" i="2"/>
  <c r="AY6" i="3"/>
  <c r="M8" i="3"/>
  <c r="O14" i="3"/>
  <c r="N26" i="3"/>
  <c r="P32" i="3"/>
  <c r="M38" i="3"/>
  <c r="M44" i="3"/>
  <c r="N50" i="3"/>
  <c r="T58" i="3"/>
  <c r="BF12" i="3" s="1"/>
  <c r="T69" i="3"/>
  <c r="BL16" i="3" s="1"/>
  <c r="AB16" i="3"/>
  <c r="E10" i="3" s="1"/>
  <c r="AB28" i="3"/>
  <c r="AB40" i="3"/>
  <c r="H33" i="3" s="1"/>
  <c r="AB51" i="3"/>
  <c r="H38" i="3" s="1"/>
  <c r="B26" i="2"/>
  <c r="BE6" i="3"/>
  <c r="N8" i="3"/>
  <c r="P14" i="3"/>
  <c r="J20" i="3"/>
  <c r="O26" i="3"/>
  <c r="BQ31" i="3"/>
  <c r="N38" i="3"/>
  <c r="N44" i="3"/>
  <c r="O50" i="3"/>
  <c r="T59" i="3"/>
  <c r="BF13" i="3" s="1"/>
  <c r="T70" i="3"/>
  <c r="BL17" i="3" s="1"/>
  <c r="AB17" i="3"/>
  <c r="H10" i="3" s="1"/>
  <c r="AB29" i="3"/>
  <c r="AB41" i="3"/>
  <c r="B48" i="2"/>
  <c r="A1" i="3"/>
  <c r="B29" i="2"/>
  <c r="BK6" i="3"/>
  <c r="O8" i="3"/>
  <c r="K20" i="3"/>
  <c r="P26" i="3"/>
  <c r="J32" i="3"/>
  <c r="O38" i="3"/>
  <c r="O44" i="3"/>
  <c r="P50" i="3"/>
  <c r="T60" i="3"/>
  <c r="BF28" i="3" s="1"/>
  <c r="T71" i="3"/>
  <c r="BL32" i="3" s="1"/>
  <c r="AB8" i="3"/>
  <c r="AB20" i="3"/>
  <c r="H43" i="3" s="1"/>
  <c r="AB32" i="3"/>
  <c r="E15" i="3" s="1"/>
  <c r="B46" i="2"/>
  <c r="AB53" i="3"/>
  <c r="E53" i="3" s="1"/>
  <c r="R27" i="3"/>
  <c r="B27" i="3" s="1"/>
  <c r="R20" i="3"/>
  <c r="B20" i="3" s="1"/>
  <c r="R26" i="3"/>
  <c r="C26" i="3" s="1"/>
  <c r="R24" i="3"/>
  <c r="R25" i="3"/>
  <c r="C25" i="3" s="1"/>
  <c r="R23" i="3"/>
  <c r="C23" i="3" s="1"/>
  <c r="R18" i="3"/>
  <c r="R19" i="3"/>
  <c r="C19" i="3" s="1"/>
  <c r="R22" i="3"/>
  <c r="D22" i="3" s="1"/>
  <c r="R21" i="3"/>
  <c r="C21" i="3" s="1"/>
  <c r="R17" i="3"/>
  <c r="B17" i="3" s="1"/>
  <c r="R16" i="3"/>
  <c r="C16" i="3" s="1"/>
  <c r="R8" i="3"/>
  <c r="B8" i="3" s="1"/>
  <c r="R15" i="3"/>
  <c r="C15" i="3" s="1"/>
  <c r="R14" i="3"/>
  <c r="C14" i="3" s="1"/>
  <c r="R12" i="3"/>
  <c r="D12" i="3" s="1"/>
  <c r="R11" i="3"/>
  <c r="C11" i="3" s="1"/>
  <c r="R9" i="3"/>
  <c r="R7" i="3"/>
  <c r="C7" i="3" s="1"/>
  <c r="R13" i="3"/>
  <c r="B13" i="3" s="1"/>
  <c r="R10" i="3"/>
  <c r="B28" i="3"/>
  <c r="B37" i="3"/>
  <c r="C42" i="3"/>
  <c r="C52" i="3"/>
  <c r="B36" i="3"/>
  <c r="D25" i="3"/>
  <c r="C44" i="3"/>
  <c r="C50" i="3"/>
  <c r="B30" i="3"/>
  <c r="C41" i="3"/>
  <c r="D29" i="3"/>
  <c r="D34" i="3"/>
  <c r="C35" i="3"/>
  <c r="B51" i="3"/>
  <c r="C40" i="3"/>
  <c r="D28" i="3"/>
  <c r="B34" i="3"/>
  <c r="D35" i="3"/>
  <c r="C32" i="3"/>
  <c r="D36" i="3"/>
  <c r="B25" i="3"/>
  <c r="BO41" i="3"/>
  <c r="C8" i="3"/>
  <c r="D8" i="3"/>
  <c r="B29" i="3"/>
  <c r="D38" i="3"/>
  <c r="C36" i="3"/>
  <c r="D49" i="3"/>
  <c r="C49" i="3"/>
  <c r="B49" i="3"/>
  <c r="C34" i="3"/>
  <c r="B46" i="3"/>
  <c r="D51" i="3"/>
  <c r="H54" i="3"/>
  <c r="B22" i="2"/>
  <c r="B25" i="2"/>
  <c r="B33" i="2"/>
  <c r="B41" i="2"/>
  <c r="B42" i="2"/>
  <c r="B18" i="2"/>
  <c r="B27" i="2"/>
  <c r="B35" i="2"/>
  <c r="B43" i="2"/>
  <c r="B28" i="2"/>
  <c r="B36" i="2"/>
  <c r="B44" i="2"/>
  <c r="B45" i="2"/>
  <c r="B21" i="2"/>
  <c r="B30" i="2"/>
  <c r="B38" i="2"/>
  <c r="B47" i="2"/>
  <c r="B24" i="2"/>
  <c r="B32" i="2"/>
  <c r="B40" i="2"/>
  <c r="AM38" i="3" l="1"/>
  <c r="D41" i="3"/>
  <c r="C38" i="3"/>
  <c r="B15" i="3"/>
  <c r="C22" i="3"/>
  <c r="C39" i="3"/>
  <c r="B11" i="3"/>
  <c r="B22" i="3"/>
  <c r="B39" i="3"/>
  <c r="D33" i="3"/>
  <c r="D27" i="3"/>
  <c r="C48" i="3"/>
  <c r="H51" i="3"/>
  <c r="E22" i="3"/>
  <c r="S22" i="3" s="1"/>
  <c r="H15" i="3"/>
  <c r="X15" i="3" s="1"/>
  <c r="H32" i="3"/>
  <c r="X44" i="3"/>
  <c r="E27" i="3"/>
  <c r="S27" i="3" s="1"/>
  <c r="E11" i="3"/>
  <c r="S11" i="3" s="1"/>
  <c r="T11" i="3" s="1"/>
  <c r="H24" i="3"/>
  <c r="H7" i="3"/>
  <c r="E35" i="3"/>
  <c r="S35" i="3" s="1"/>
  <c r="S19" i="3"/>
  <c r="S52" i="3"/>
  <c r="S10" i="3"/>
  <c r="T10" i="3" s="1"/>
  <c r="X10" i="3"/>
  <c r="X8" i="3"/>
  <c r="S15" i="3"/>
  <c r="X53" i="3"/>
  <c r="S53" i="3"/>
  <c r="T53" i="3" s="1"/>
  <c r="B16" i="3"/>
  <c r="C13" i="3"/>
  <c r="D16" i="3"/>
  <c r="E32" i="3"/>
  <c r="E47" i="3"/>
  <c r="H16" i="3"/>
  <c r="E26" i="3"/>
  <c r="E41" i="3"/>
  <c r="H50" i="3"/>
  <c r="E18" i="3"/>
  <c r="H9" i="3"/>
  <c r="H26" i="3"/>
  <c r="E42" i="3"/>
  <c r="H12" i="3"/>
  <c r="E28" i="3"/>
  <c r="E43" i="3"/>
  <c r="H40" i="3"/>
  <c r="X40" i="3" s="1"/>
  <c r="H23" i="3"/>
  <c r="E25" i="3"/>
  <c r="H41" i="3"/>
  <c r="E9" i="3"/>
  <c r="H21" i="3"/>
  <c r="H46" i="3"/>
  <c r="H29" i="3"/>
  <c r="E14" i="3"/>
  <c r="E39" i="3"/>
  <c r="E24" i="3"/>
  <c r="AM16" i="3"/>
  <c r="AM17" i="3"/>
  <c r="E54" i="3"/>
  <c r="H22" i="3"/>
  <c r="E38" i="3"/>
  <c r="H42" i="3"/>
  <c r="H25" i="3"/>
  <c r="AM9" i="3"/>
  <c r="H30" i="3"/>
  <c r="E46" i="3"/>
  <c r="E12" i="3"/>
  <c r="H47" i="3"/>
  <c r="E31" i="3"/>
  <c r="E36" i="3"/>
  <c r="E51" i="3"/>
  <c r="AM40" i="3"/>
  <c r="H27" i="3"/>
  <c r="X27" i="3" s="1"/>
  <c r="E21" i="3"/>
  <c r="E37" i="3"/>
  <c r="E33" i="3"/>
  <c r="H49" i="3"/>
  <c r="E17" i="3"/>
  <c r="H19" i="3"/>
  <c r="H36" i="3"/>
  <c r="E45" i="3"/>
  <c r="H14" i="3"/>
  <c r="E30" i="3"/>
  <c r="E23" i="3"/>
  <c r="H39" i="3"/>
  <c r="E7" i="3"/>
  <c r="H18" i="3"/>
  <c r="E49" i="3"/>
  <c r="E34" i="3"/>
  <c r="E50" i="3"/>
  <c r="H34" i="3"/>
  <c r="H45" i="3"/>
  <c r="E29" i="3"/>
  <c r="E13" i="3"/>
  <c r="H52" i="3"/>
  <c r="X52" i="3" s="1"/>
  <c r="H35" i="3"/>
  <c r="E20" i="3"/>
  <c r="E16" i="3"/>
  <c r="H48" i="3"/>
  <c r="T48" i="3" s="1"/>
  <c r="D7" i="3"/>
  <c r="B7" i="3"/>
  <c r="D48" i="3"/>
  <c r="D15" i="3"/>
  <c r="D20" i="3"/>
  <c r="D23" i="3"/>
  <c r="C33" i="3"/>
  <c r="D44" i="3"/>
  <c r="D19" i="3"/>
  <c r="B19" i="3"/>
  <c r="D17" i="3"/>
  <c r="C45" i="3"/>
  <c r="B45" i="3"/>
  <c r="B18" i="3"/>
  <c r="D18" i="3"/>
  <c r="D42" i="3"/>
  <c r="C29" i="3"/>
  <c r="D52" i="3"/>
  <c r="B52" i="3"/>
  <c r="D37" i="3"/>
  <c r="D26" i="3"/>
  <c r="B23" i="3"/>
  <c r="B35" i="3"/>
  <c r="D45" i="3"/>
  <c r="C9" i="3"/>
  <c r="D9" i="3"/>
  <c r="B9" i="3"/>
  <c r="C53" i="3"/>
  <c r="D53" i="3"/>
  <c r="B53" i="3"/>
  <c r="B54" i="3"/>
  <c r="C54" i="3"/>
  <c r="D54" i="3"/>
  <c r="D32" i="3"/>
  <c r="B32" i="3"/>
  <c r="C27" i="3"/>
  <c r="C51" i="3"/>
  <c r="D30" i="3"/>
  <c r="C20" i="3"/>
  <c r="D47" i="3"/>
  <c r="B47" i="3"/>
  <c r="B43" i="3"/>
  <c r="D43" i="3"/>
  <c r="B31" i="3"/>
  <c r="D31" i="3"/>
  <c r="C31" i="3"/>
  <c r="B10" i="3"/>
  <c r="D10" i="3"/>
  <c r="B26" i="3"/>
  <c r="D50" i="3"/>
  <c r="B50" i="3"/>
  <c r="C18" i="3"/>
  <c r="C28" i="3"/>
  <c r="C10" i="3"/>
  <c r="D46" i="3"/>
  <c r="C46" i="3"/>
  <c r="D40" i="3"/>
  <c r="B40" i="3"/>
  <c r="B44" i="3"/>
  <c r="D11" i="3"/>
  <c r="C30" i="3"/>
  <c r="C24" i="3"/>
  <c r="D24" i="3"/>
  <c r="B24" i="3"/>
  <c r="C37" i="3"/>
  <c r="C43" i="3"/>
  <c r="C17" i="3"/>
  <c r="D13" i="3"/>
  <c r="B42" i="3"/>
  <c r="B12" i="3"/>
  <c r="C12" i="3"/>
  <c r="B14" i="3"/>
  <c r="D14" i="3"/>
  <c r="B21" i="3"/>
  <c r="D21" i="3"/>
  <c r="AM41" i="3"/>
  <c r="AM34" i="3"/>
  <c r="AM35" i="3"/>
  <c r="AM10" i="3"/>
  <c r="AM14" i="3"/>
  <c r="AM52" i="3"/>
  <c r="AM29" i="3"/>
  <c r="AM46" i="3"/>
  <c r="AM47" i="3"/>
  <c r="AM53" i="3"/>
  <c r="AM39" i="3"/>
  <c r="AM45" i="3"/>
  <c r="AM33" i="3"/>
  <c r="AM28" i="3"/>
  <c r="AM15" i="3"/>
  <c r="AM44" i="3"/>
  <c r="AM26" i="3"/>
  <c r="AM21" i="3"/>
  <c r="AM27" i="3"/>
  <c r="AM23" i="3"/>
  <c r="AM50" i="3"/>
  <c r="AM20" i="3"/>
  <c r="AM32" i="3"/>
  <c r="AM51" i="3"/>
  <c r="AM22" i="3"/>
  <c r="AM11" i="3"/>
  <c r="AM8" i="3"/>
  <c r="S8" i="3"/>
  <c r="T44" i="3"/>
  <c r="T40" i="3"/>
  <c r="T22" i="3" l="1"/>
  <c r="T15" i="3"/>
  <c r="X35" i="3"/>
  <c r="T19" i="3"/>
  <c r="X11" i="3"/>
  <c r="X22" i="3"/>
  <c r="T27" i="3"/>
  <c r="T52" i="3"/>
  <c r="X48" i="3"/>
  <c r="S34" i="3"/>
  <c r="T34" i="3" s="1"/>
  <c r="X34" i="3"/>
  <c r="S46" i="3"/>
  <c r="T46" i="3" s="1"/>
  <c r="X46" i="3"/>
  <c r="S49" i="3"/>
  <c r="T49" i="3" s="1"/>
  <c r="X49" i="3"/>
  <c r="S45" i="3"/>
  <c r="T45" i="3" s="1"/>
  <c r="X45" i="3"/>
  <c r="S32" i="3"/>
  <c r="T32" i="3" s="1"/>
  <c r="X32" i="3"/>
  <c r="S24" i="3"/>
  <c r="T24" i="3" s="1"/>
  <c r="X24" i="3"/>
  <c r="S25" i="3"/>
  <c r="T25" i="3" s="1"/>
  <c r="X25" i="3"/>
  <c r="S29" i="3"/>
  <c r="T29" i="3" s="1"/>
  <c r="X29" i="3"/>
  <c r="S7" i="3"/>
  <c r="T7" i="3" s="1"/>
  <c r="X7" i="3"/>
  <c r="S17" i="3"/>
  <c r="T17" i="3" s="1"/>
  <c r="X17" i="3"/>
  <c r="S36" i="3"/>
  <c r="T36" i="3" s="1"/>
  <c r="X36" i="3"/>
  <c r="S14" i="3"/>
  <c r="T14" i="3" s="1"/>
  <c r="X14" i="3"/>
  <c r="S9" i="3"/>
  <c r="T9" i="3" s="1"/>
  <c r="X9" i="3"/>
  <c r="S47" i="3"/>
  <c r="T47" i="3" s="1"/>
  <c r="X47" i="3"/>
  <c r="S31" i="3"/>
  <c r="T31" i="3" s="1"/>
  <c r="X31" i="3"/>
  <c r="S38" i="3"/>
  <c r="T38" i="3" s="1"/>
  <c r="X38" i="3"/>
  <c r="S43" i="3"/>
  <c r="T43" i="3" s="1"/>
  <c r="X43" i="3"/>
  <c r="S41" i="3"/>
  <c r="T41" i="3" s="1"/>
  <c r="X41" i="3"/>
  <c r="S20" i="3"/>
  <c r="T20" i="3" s="1"/>
  <c r="X20" i="3"/>
  <c r="S21" i="3"/>
  <c r="T21" i="3" s="1"/>
  <c r="X21" i="3"/>
  <c r="S42" i="3"/>
  <c r="T42" i="3" s="1"/>
  <c r="X42" i="3"/>
  <c r="S13" i="3"/>
  <c r="T13" i="3" s="1"/>
  <c r="X13" i="3"/>
  <c r="S51" i="3"/>
  <c r="T51" i="3" s="1"/>
  <c r="X51" i="3"/>
  <c r="S39" i="3"/>
  <c r="X39" i="3"/>
  <c r="S18" i="3"/>
  <c r="T18" i="3" s="1"/>
  <c r="X18" i="3"/>
  <c r="S23" i="3"/>
  <c r="T23" i="3" s="1"/>
  <c r="X23" i="3"/>
  <c r="S33" i="3"/>
  <c r="T33" i="3" s="1"/>
  <c r="X33" i="3"/>
  <c r="S28" i="3"/>
  <c r="T28" i="3" s="1"/>
  <c r="X28" i="3"/>
  <c r="S26" i="3"/>
  <c r="T26" i="3" s="1"/>
  <c r="X26" i="3"/>
  <c r="X19" i="3"/>
  <c r="S16" i="3"/>
  <c r="T16" i="3" s="1"/>
  <c r="X16" i="3"/>
  <c r="S50" i="3"/>
  <c r="T50" i="3" s="1"/>
  <c r="X50" i="3"/>
  <c r="S30" i="3"/>
  <c r="T30" i="3" s="1"/>
  <c r="X30" i="3"/>
  <c r="S37" i="3"/>
  <c r="T37" i="3" s="1"/>
  <c r="X37" i="3"/>
  <c r="S12" i="3"/>
  <c r="T12" i="3" s="1"/>
  <c r="X12" i="3"/>
  <c r="X54" i="3"/>
  <c r="S54" i="3"/>
  <c r="T54" i="3" s="1"/>
  <c r="AG41" i="3"/>
  <c r="AG26" i="3"/>
  <c r="AG29" i="3"/>
  <c r="AG21" i="3"/>
  <c r="AF23" i="3"/>
  <c r="AF47" i="3"/>
  <c r="AG10" i="3"/>
  <c r="AG53" i="3"/>
  <c r="AF34" i="3"/>
  <c r="AG35" i="3"/>
  <c r="AG47" i="3"/>
  <c r="AF38" i="3"/>
  <c r="AG22" i="3"/>
  <c r="AG44" i="3"/>
  <c r="AG15" i="3"/>
  <c r="AG28" i="3"/>
  <c r="AF29" i="3"/>
  <c r="AG38" i="3"/>
  <c r="AF32" i="3"/>
  <c r="AG20" i="3"/>
  <c r="AF10" i="3"/>
  <c r="AG27" i="3"/>
  <c r="AG32" i="3"/>
  <c r="AG11" i="3"/>
  <c r="AF35" i="3"/>
  <c r="AF51" i="3"/>
  <c r="AF50" i="3"/>
  <c r="AF44" i="3"/>
  <c r="AF45" i="3"/>
  <c r="AF53" i="3"/>
  <c r="AG52" i="3"/>
  <c r="AF15" i="3"/>
  <c r="AG9" i="3"/>
  <c r="AG16" i="3"/>
  <c r="AG39" i="3"/>
  <c r="AG51" i="3"/>
  <c r="AF41" i="3"/>
  <c r="AF20" i="3"/>
  <c r="AF17" i="3"/>
  <c r="AG8" i="3"/>
  <c r="AG45" i="3"/>
  <c r="AF21" i="3"/>
  <c r="AF33" i="3"/>
  <c r="AF39" i="3"/>
  <c r="AF28" i="3"/>
  <c r="AG23" i="3"/>
  <c r="AG50" i="3"/>
  <c r="AF9" i="3"/>
  <c r="AF8" i="3"/>
  <c r="AF52" i="3"/>
  <c r="AG17" i="3"/>
  <c r="AF22" i="3"/>
  <c r="AF11" i="3"/>
  <c r="AG33" i="3"/>
  <c r="AF27" i="3"/>
  <c r="T39" i="3"/>
  <c r="AG40" i="3"/>
  <c r="AF26" i="3"/>
  <c r="AF14" i="3"/>
  <c r="AF40" i="3"/>
  <c r="AG14" i="3"/>
  <c r="AG34" i="3"/>
  <c r="AF16" i="3"/>
  <c r="AF46" i="3"/>
  <c r="AG46" i="3"/>
  <c r="T35" i="3"/>
  <c r="T8" i="3"/>
  <c r="AI22" i="3" l="1"/>
  <c r="AI9" i="3"/>
  <c r="AI40" i="3"/>
  <c r="AI29" i="3"/>
  <c r="AI41" i="3"/>
  <c r="AI34" i="3"/>
  <c r="AI51" i="3"/>
  <c r="AI35" i="3"/>
  <c r="AI16" i="3"/>
  <c r="AI39" i="3"/>
  <c r="AI8" i="3"/>
  <c r="AI44" i="3"/>
  <c r="AI38" i="3"/>
  <c r="AI28" i="3"/>
  <c r="AH10" i="3"/>
  <c r="AI21" i="3"/>
  <c r="AI14" i="3"/>
  <c r="AI26" i="3"/>
  <c r="AI47" i="3"/>
  <c r="AI46" i="3"/>
  <c r="AG18" i="3"/>
  <c r="AF42" i="3"/>
  <c r="AI33" i="3"/>
  <c r="AG42" i="3"/>
  <c r="AI10" i="3"/>
  <c r="AI23" i="3"/>
  <c r="AI17" i="3"/>
  <c r="AG36" i="3"/>
  <c r="AF24" i="3"/>
  <c r="AI32" i="3"/>
  <c r="AI52" i="3"/>
  <c r="AI20" i="3"/>
  <c r="AI45" i="3"/>
  <c r="AG54" i="3"/>
  <c r="AH11" i="3"/>
  <c r="AG30" i="3"/>
  <c r="AI53" i="3"/>
  <c r="AF54" i="3"/>
  <c r="AF30" i="3"/>
  <c r="AG24" i="3"/>
  <c r="AE41" i="3"/>
  <c r="AF36" i="3"/>
  <c r="AG12" i="3"/>
  <c r="AI11" i="3"/>
  <c r="AF18" i="3"/>
  <c r="AH8" i="3"/>
  <c r="AD29" i="3"/>
  <c r="AC34" i="3"/>
  <c r="AF12" i="3"/>
  <c r="AE15" i="3"/>
  <c r="AD34" i="3"/>
  <c r="AF48" i="3"/>
  <c r="AE38" i="3"/>
  <c r="AI15" i="3"/>
  <c r="AG48" i="3"/>
  <c r="AH9" i="3"/>
  <c r="AE20" i="3"/>
  <c r="AC17" i="3"/>
  <c r="AI50" i="3"/>
  <c r="AI27" i="3"/>
  <c r="AE44" i="3"/>
  <c r="AE40" i="3"/>
  <c r="AC50" i="3"/>
  <c r="AE29" i="3"/>
  <c r="AD38" i="3"/>
  <c r="AC39" i="3"/>
  <c r="AE51" i="3"/>
  <c r="AE22" i="3"/>
  <c r="AC51" i="3"/>
  <c r="AD16" i="3"/>
  <c r="AE8" i="3"/>
  <c r="AE34" i="3"/>
  <c r="AE33" i="3"/>
  <c r="AD23" i="3"/>
  <c r="AD26" i="3"/>
  <c r="AD9" i="3"/>
  <c r="AC23" i="3"/>
  <c r="AC8" i="3"/>
  <c r="AC53" i="3"/>
  <c r="AE46" i="3"/>
  <c r="AD14" i="3"/>
  <c r="AC21" i="3"/>
  <c r="AC11" i="3"/>
  <c r="AD44" i="3"/>
  <c r="AD20" i="3"/>
  <c r="AD53" i="3"/>
  <c r="AE35" i="3"/>
  <c r="AC9" i="3"/>
  <c r="AD32" i="3"/>
  <c r="AC14" i="3"/>
  <c r="AD45" i="3"/>
  <c r="AD21" i="3"/>
  <c r="AC41" i="3"/>
  <c r="AD28" i="3"/>
  <c r="AD35" i="3"/>
  <c r="AD47" i="3"/>
  <c r="AE17" i="3"/>
  <c r="AC26" i="3"/>
  <c r="AE16" i="3"/>
  <c r="AC20" i="3"/>
  <c r="AC29" i="3"/>
  <c r="AD10" i="3"/>
  <c r="AE45" i="3"/>
  <c r="AC40" i="3"/>
  <c r="AD8" i="3"/>
  <c r="AD17" i="3"/>
  <c r="AC35" i="3"/>
  <c r="AC33" i="3"/>
  <c r="AC10" i="3"/>
  <c r="AE21" i="3"/>
  <c r="AE11" i="3"/>
  <c r="AE28" i="3"/>
  <c r="AE27" i="3"/>
  <c r="AD39" i="3"/>
  <c r="AD40" i="3"/>
  <c r="AE32" i="3"/>
  <c r="AC27" i="3"/>
  <c r="AC47" i="3"/>
  <c r="AE39" i="3"/>
  <c r="AD22" i="3"/>
  <c r="AD33" i="3"/>
  <c r="AC44" i="3"/>
  <c r="AE26" i="3"/>
  <c r="AD11" i="3"/>
  <c r="AE14" i="3"/>
  <c r="AD15" i="3"/>
  <c r="AC38" i="3"/>
  <c r="AD27" i="3"/>
  <c r="AE10" i="3"/>
  <c r="AE50" i="3"/>
  <c r="AE23" i="3"/>
  <c r="AC16" i="3"/>
  <c r="AD46" i="3"/>
  <c r="AD51" i="3"/>
  <c r="AE47" i="3"/>
  <c r="AD52" i="3"/>
  <c r="AC45" i="3"/>
  <c r="AC28" i="3"/>
  <c r="AE53" i="3"/>
  <c r="AC15" i="3"/>
  <c r="AE9" i="3"/>
  <c r="AD41" i="3"/>
  <c r="AC32" i="3"/>
  <c r="AD50" i="3"/>
  <c r="AE52" i="3"/>
  <c r="AC22" i="3"/>
  <c r="AC46" i="3"/>
  <c r="AC52" i="3"/>
  <c r="AI43" i="3" l="1"/>
  <c r="AI42" i="3" s="1"/>
  <c r="AJ41" i="3" s="1"/>
  <c r="AK29" i="3"/>
  <c r="AH29" i="3" s="1"/>
  <c r="AI37" i="3"/>
  <c r="AI36" i="3" s="1"/>
  <c r="AJ32" i="3" s="1"/>
  <c r="U7" i="3"/>
  <c r="V7" i="3" s="1"/>
  <c r="U8" i="3"/>
  <c r="W8" i="3" s="1"/>
  <c r="AI25" i="3"/>
  <c r="AI24" i="3" s="1"/>
  <c r="AJ21" i="3" s="1"/>
  <c r="AI49" i="3"/>
  <c r="AI48" i="3" s="1"/>
  <c r="AJ46" i="3" s="1"/>
  <c r="AI31" i="3"/>
  <c r="AI30" i="3" s="1"/>
  <c r="AJ26" i="3" s="1"/>
  <c r="AK34" i="3"/>
  <c r="AH34" i="3" s="1"/>
  <c r="AK39" i="3"/>
  <c r="AH39" i="3" s="1"/>
  <c r="AK17" i="3"/>
  <c r="AH17" i="3" s="1"/>
  <c r="AI19" i="3"/>
  <c r="AI18" i="3" s="1"/>
  <c r="AJ16" i="3" s="1"/>
  <c r="AI55" i="3"/>
  <c r="AI54" i="3" s="1"/>
  <c r="AJ53" i="3" s="1"/>
  <c r="AI13" i="3"/>
  <c r="AI12" i="3" s="1"/>
  <c r="AJ9" i="3" s="1"/>
  <c r="AH13" i="3"/>
  <c r="AH12" i="3" s="1"/>
  <c r="AE42" i="3"/>
  <c r="AK22" i="3"/>
  <c r="AH22" i="3" s="1"/>
  <c r="AK51" i="3"/>
  <c r="AH51" i="3" s="1"/>
  <c r="AK35" i="3"/>
  <c r="AH35" i="3" s="1"/>
  <c r="AE48" i="3"/>
  <c r="AK47" i="3"/>
  <c r="AH47" i="3" s="1"/>
  <c r="AK16" i="3"/>
  <c r="AH16" i="3" s="1"/>
  <c r="AK52" i="3"/>
  <c r="AH52" i="3" s="1"/>
  <c r="AK9" i="3"/>
  <c r="AE36" i="3"/>
  <c r="AK45" i="3"/>
  <c r="AH45" i="3" s="1"/>
  <c r="AE24" i="3"/>
  <c r="AE18" i="3"/>
  <c r="AK28" i="3"/>
  <c r="AH28" i="3" s="1"/>
  <c r="AD42" i="3"/>
  <c r="AE12" i="3"/>
  <c r="AE30" i="3"/>
  <c r="AK27" i="3"/>
  <c r="AH27" i="3" s="1"/>
  <c r="AK10" i="3"/>
  <c r="AK41" i="3"/>
  <c r="AH41" i="3" s="1"/>
  <c r="AD24" i="3"/>
  <c r="AK23" i="3"/>
  <c r="AH23" i="3" s="1"/>
  <c r="AK15" i="3"/>
  <c r="AH15" i="3" s="1"/>
  <c r="AD54" i="3"/>
  <c r="AC12" i="3"/>
  <c r="AK8" i="3"/>
  <c r="AK33" i="3"/>
  <c r="AK20" i="3"/>
  <c r="AC24" i="3"/>
  <c r="AD48" i="3"/>
  <c r="AK46" i="3"/>
  <c r="AK11" i="3"/>
  <c r="AD30" i="3"/>
  <c r="AE54" i="3"/>
  <c r="AC48" i="3"/>
  <c r="AK44" i="3"/>
  <c r="AK26" i="3"/>
  <c r="AC30" i="3"/>
  <c r="AC18" i="3"/>
  <c r="AK14" i="3"/>
  <c r="AK21" i="3"/>
  <c r="AD12" i="3"/>
  <c r="AD36" i="3"/>
  <c r="AD18" i="3"/>
  <c r="AK50" i="3"/>
  <c r="AK40" i="3"/>
  <c r="AC54" i="3"/>
  <c r="AC36" i="3"/>
  <c r="AK32" i="3"/>
  <c r="AK38" i="3"/>
  <c r="AC42" i="3"/>
  <c r="AK53" i="3"/>
  <c r="AJ38" i="3" l="1"/>
  <c r="U54" i="3"/>
  <c r="W54" i="3" s="1"/>
  <c r="AJ39" i="3"/>
  <c r="AJ40" i="3"/>
  <c r="AJ35" i="3"/>
  <c r="AJ33" i="3"/>
  <c r="AJ34" i="3"/>
  <c r="AJ20" i="3"/>
  <c r="AJ22" i="3"/>
  <c r="W7" i="3"/>
  <c r="V8" i="3"/>
  <c r="AJ23" i="3"/>
  <c r="AJ14" i="3"/>
  <c r="AJ47" i="3"/>
  <c r="AJ45" i="3"/>
  <c r="AJ44" i="3"/>
  <c r="AJ15" i="3"/>
  <c r="AJ17" i="3"/>
  <c r="AJ51" i="3"/>
  <c r="AJ52" i="3"/>
  <c r="AJ50" i="3"/>
  <c r="AJ8" i="3"/>
  <c r="AJ11" i="3"/>
  <c r="AJ10" i="3"/>
  <c r="U42" i="3"/>
  <c r="V42" i="3" s="1"/>
  <c r="U14" i="3"/>
  <c r="W14" i="3" s="1"/>
  <c r="U12" i="3"/>
  <c r="W12" i="3" s="1"/>
  <c r="U10" i="3"/>
  <c r="W10" i="3" s="1"/>
  <c r="AK54" i="3"/>
  <c r="AH50" i="3"/>
  <c r="AH33" i="3"/>
  <c r="U32" i="3" s="1"/>
  <c r="AJ28" i="3"/>
  <c r="AH21" i="3"/>
  <c r="U46" i="3" s="1"/>
  <c r="U40" i="3"/>
  <c r="AK48" i="3"/>
  <c r="AH44" i="3"/>
  <c r="U51" i="3" s="1"/>
  <c r="U24" i="3"/>
  <c r="U30" i="3"/>
  <c r="AK30" i="3"/>
  <c r="AH26" i="3"/>
  <c r="AK12" i="3"/>
  <c r="AK18" i="3"/>
  <c r="AH14" i="3"/>
  <c r="U39" i="3" s="1"/>
  <c r="AH46" i="3"/>
  <c r="U20" i="3" s="1"/>
  <c r="AH53" i="3"/>
  <c r="AH40" i="3"/>
  <c r="AK42" i="3"/>
  <c r="AH38" i="3"/>
  <c r="AK36" i="3"/>
  <c r="AH32" i="3"/>
  <c r="AJ27" i="3"/>
  <c r="AK24" i="3"/>
  <c r="AH20" i="3"/>
  <c r="AJ29" i="3"/>
  <c r="V54" i="3" l="1"/>
  <c r="W51" i="3"/>
  <c r="V51" i="3"/>
  <c r="U52" i="3"/>
  <c r="U36" i="3"/>
  <c r="V36" i="3" s="1"/>
  <c r="U53" i="3"/>
  <c r="U47" i="3"/>
  <c r="W47" i="3" s="1"/>
  <c r="U44" i="3"/>
  <c r="V44" i="3" s="1"/>
  <c r="U45" i="3"/>
  <c r="V45" i="3" s="1"/>
  <c r="W42" i="3"/>
  <c r="U41" i="3"/>
  <c r="U35" i="3"/>
  <c r="V35" i="3" s="1"/>
  <c r="U25" i="3"/>
  <c r="V25" i="3" s="1"/>
  <c r="U22" i="3"/>
  <c r="V22" i="3" s="1"/>
  <c r="U19" i="3"/>
  <c r="V19" i="3" s="1"/>
  <c r="U48" i="3"/>
  <c r="V48" i="3" s="1"/>
  <c r="U50" i="3"/>
  <c r="W50" i="3" s="1"/>
  <c r="V10" i="3"/>
  <c r="U16" i="3"/>
  <c r="U37" i="3"/>
  <c r="V37" i="3" s="1"/>
  <c r="V14" i="3"/>
  <c r="U23" i="3"/>
  <c r="V23" i="3" s="1"/>
  <c r="U29" i="3"/>
  <c r="V29" i="3" s="1"/>
  <c r="V12" i="3"/>
  <c r="AH19" i="3"/>
  <c r="AH18" i="3" s="1"/>
  <c r="U9" i="3"/>
  <c r="U26" i="3"/>
  <c r="W39" i="3"/>
  <c r="V39" i="3"/>
  <c r="AH37" i="3"/>
  <c r="AH36" i="3" s="1"/>
  <c r="U15" i="3"/>
  <c r="U31" i="3"/>
  <c r="W40" i="3"/>
  <c r="V40" i="3"/>
  <c r="AH31" i="3"/>
  <c r="AH30" i="3" s="1"/>
  <c r="U13" i="3"/>
  <c r="U28" i="3"/>
  <c r="U49" i="3"/>
  <c r="AH55" i="3"/>
  <c r="AH54" i="3" s="1"/>
  <c r="U21" i="3"/>
  <c r="U38" i="3"/>
  <c r="AH43" i="3"/>
  <c r="AH42" i="3" s="1"/>
  <c r="U17" i="3"/>
  <c r="U33" i="3"/>
  <c r="W32" i="3"/>
  <c r="V32" i="3"/>
  <c r="AH25" i="3"/>
  <c r="AH24" i="3" s="1"/>
  <c r="U11" i="3"/>
  <c r="U27" i="3"/>
  <c r="U43" i="3"/>
  <c r="AH49" i="3"/>
  <c r="AH48" i="3" s="1"/>
  <c r="U18" i="3"/>
  <c r="U34" i="3"/>
  <c r="V30" i="3"/>
  <c r="W30" i="3"/>
  <c r="W46" i="3"/>
  <c r="V46" i="3"/>
  <c r="W20" i="3"/>
  <c r="V20" i="3"/>
  <c r="W24" i="3"/>
  <c r="V24" i="3"/>
  <c r="W36" i="3" l="1"/>
  <c r="W53" i="3"/>
  <c r="V53" i="3"/>
  <c r="V52" i="3"/>
  <c r="W52" i="3"/>
  <c r="W44" i="3"/>
  <c r="V47" i="3"/>
  <c r="W45" i="3"/>
  <c r="V41" i="3"/>
  <c r="W41" i="3"/>
  <c r="W35" i="3"/>
  <c r="W25" i="3"/>
  <c r="W19" i="3"/>
  <c r="W22" i="3"/>
  <c r="W48" i="3"/>
  <c r="W37" i="3"/>
  <c r="V50" i="3"/>
  <c r="W29" i="3"/>
  <c r="W16" i="3"/>
  <c r="V16" i="3"/>
  <c r="W23" i="3"/>
  <c r="W49" i="3"/>
  <c r="V49" i="3"/>
  <c r="W34" i="3"/>
  <c r="V34" i="3"/>
  <c r="W13" i="3"/>
  <c r="V13" i="3"/>
  <c r="W18" i="3"/>
  <c r="V18" i="3"/>
  <c r="W17" i="3"/>
  <c r="V17" i="3"/>
  <c r="W33" i="3"/>
  <c r="V33" i="3"/>
  <c r="W43" i="3"/>
  <c r="V43" i="3"/>
  <c r="W38" i="3"/>
  <c r="V38" i="3"/>
  <c r="V11" i="3"/>
  <c r="W11" i="3"/>
  <c r="W21" i="3"/>
  <c r="V21" i="3"/>
  <c r="W26" i="3"/>
  <c r="V26" i="3"/>
  <c r="W27" i="3"/>
  <c r="V27" i="3"/>
  <c r="W31" i="3"/>
  <c r="V31" i="3"/>
  <c r="V9" i="3"/>
  <c r="W9" i="3"/>
  <c r="AP50" i="3"/>
  <c r="AS10" i="3"/>
  <c r="AP41" i="3"/>
  <c r="AR33" i="3"/>
  <c r="AQ23" i="3"/>
  <c r="AR34" i="3"/>
  <c r="AR14" i="3"/>
  <c r="AS47" i="3"/>
  <c r="AP14" i="3"/>
  <c r="AP40" i="3"/>
  <c r="AQ11" i="3"/>
  <c r="AR32" i="3"/>
  <c r="AQ26" i="3"/>
  <c r="AS38" i="3"/>
  <c r="AS14" i="3"/>
  <c r="AR40" i="3"/>
  <c r="AS33" i="3"/>
  <c r="AQ34" i="3"/>
  <c r="AR53" i="3"/>
  <c r="AP26" i="3"/>
  <c r="AR10" i="3"/>
  <c r="AS22" i="3"/>
  <c r="AP44" i="3"/>
  <c r="AR28" i="3"/>
  <c r="AQ40" i="3"/>
  <c r="AS20" i="3"/>
  <c r="AS26" i="3"/>
  <c r="AR51" i="3"/>
  <c r="AQ22" i="3"/>
  <c r="AS17" i="3"/>
  <c r="AR21" i="3"/>
  <c r="AR52" i="3"/>
  <c r="AQ10" i="3"/>
  <c r="AR9" i="3"/>
  <c r="AQ38" i="3"/>
  <c r="AQ29" i="3"/>
  <c r="AQ47" i="3"/>
  <c r="AS34" i="3"/>
  <c r="AR26" i="3"/>
  <c r="AS9" i="3"/>
  <c r="AS51" i="3"/>
  <c r="AQ51" i="3"/>
  <c r="AQ8" i="3"/>
  <c r="AP29" i="3"/>
  <c r="AP9" i="3"/>
  <c r="AR39" i="3"/>
  <c r="AR38" i="3"/>
  <c r="AP27" i="3"/>
  <c r="AP39" i="3"/>
  <c r="AS21" i="3"/>
  <c r="AP11" i="3"/>
  <c r="AQ53" i="3"/>
  <c r="AS50" i="3"/>
  <c r="AP21" i="3"/>
  <c r="AR41" i="3"/>
  <c r="AP10" i="3"/>
  <c r="AS23" i="3"/>
  <c r="AS27" i="3"/>
  <c r="AP8" i="3"/>
  <c r="AQ9" i="3"/>
  <c r="AR45" i="3"/>
  <c r="AQ46" i="3"/>
  <c r="AS8" i="3"/>
  <c r="AR29" i="3"/>
  <c r="AQ20" i="3"/>
  <c r="AQ27" i="3"/>
  <c r="AQ41" i="3"/>
  <c r="AR17" i="3"/>
  <c r="AP35" i="3"/>
  <c r="AR23" i="3"/>
  <c r="AR35" i="3"/>
  <c r="AQ45" i="3"/>
  <c r="AP52" i="3"/>
  <c r="AP16" i="3"/>
  <c r="AP33" i="3"/>
  <c r="AQ21" i="3"/>
  <c r="AS29" i="3"/>
  <c r="AQ35" i="3"/>
  <c r="AP15" i="3"/>
  <c r="AQ17" i="3"/>
  <c r="AS46" i="3"/>
  <c r="AR15" i="3"/>
  <c r="AP23" i="3"/>
  <c r="AP51" i="3"/>
  <c r="AP46" i="3"/>
  <c r="AR8" i="3"/>
  <c r="AS41" i="3"/>
  <c r="AQ52" i="3"/>
  <c r="AQ16" i="3"/>
  <c r="AS44" i="3"/>
  <c r="AR22" i="3"/>
  <c r="AQ28" i="3"/>
  <c r="AR11" i="3"/>
  <c r="AQ33" i="3"/>
  <c r="AR47" i="3"/>
  <c r="AP32" i="3"/>
  <c r="AS52" i="3"/>
  <c r="AP34" i="3"/>
  <c r="AS40" i="3"/>
  <c r="AQ14" i="3"/>
  <c r="AS53" i="3"/>
  <c r="AS15" i="3"/>
  <c r="AS39" i="3"/>
  <c r="AP47" i="3"/>
  <c r="AQ15" i="3"/>
  <c r="AP53" i="3"/>
  <c r="AS11" i="3"/>
  <c r="AR27" i="3"/>
  <c r="AS35" i="3"/>
  <c r="AQ50" i="3"/>
  <c r="AS28" i="3"/>
  <c r="AR16" i="3"/>
  <c r="AR50" i="3"/>
  <c r="AP38" i="3"/>
  <c r="AR46" i="3"/>
  <c r="AQ32" i="3"/>
  <c r="AS16" i="3"/>
  <c r="AR20" i="3"/>
  <c r="AQ39" i="3"/>
  <c r="AP20" i="3"/>
  <c r="AP45" i="3"/>
  <c r="AP22" i="3"/>
  <c r="AQ44" i="3"/>
  <c r="AS32" i="3"/>
  <c r="AP28" i="3"/>
  <c r="AP17" i="3"/>
  <c r="AR44" i="3"/>
  <c r="AS45" i="3"/>
  <c r="W28" i="3"/>
  <c r="V28" i="3"/>
  <c r="W15" i="3"/>
  <c r="V15" i="3"/>
  <c r="AT47" i="3" l="1"/>
  <c r="AS36" i="3"/>
  <c r="AT17" i="3"/>
  <c r="AQ48" i="3"/>
  <c r="AT22" i="3"/>
  <c r="AT46" i="3"/>
  <c r="AT10" i="3"/>
  <c r="AQ36" i="3"/>
  <c r="AT27" i="3"/>
  <c r="AQ54" i="3"/>
  <c r="AS30" i="3"/>
  <c r="AT53" i="3"/>
  <c r="AQ24" i="3"/>
  <c r="AQ42" i="3"/>
  <c r="AQ18" i="3"/>
  <c r="AT51" i="3"/>
  <c r="AP30" i="3"/>
  <c r="AR36" i="3"/>
  <c r="AT32" i="3"/>
  <c r="AT33" i="3"/>
  <c r="AP12" i="3"/>
  <c r="AP42" i="3"/>
  <c r="AS48" i="3"/>
  <c r="AT15" i="3"/>
  <c r="AT9" i="3"/>
  <c r="AS24" i="3"/>
  <c r="AP18" i="3"/>
  <c r="AP54" i="3"/>
  <c r="AP24" i="3"/>
  <c r="AT16" i="3"/>
  <c r="AP36" i="3"/>
  <c r="AT29" i="3"/>
  <c r="AT52" i="3"/>
  <c r="AT28" i="3"/>
  <c r="AT40" i="3"/>
  <c r="AQ12" i="3"/>
  <c r="AR48" i="3"/>
  <c r="AT44" i="3"/>
  <c r="AT35" i="3"/>
  <c r="AS12" i="3"/>
  <c r="AT41" i="3"/>
  <c r="AT38" i="3"/>
  <c r="AR42" i="3"/>
  <c r="AR30" i="3"/>
  <c r="AT26" i="3"/>
  <c r="AT21" i="3"/>
  <c r="AP48" i="3"/>
  <c r="AS18" i="3"/>
  <c r="AR18" i="3"/>
  <c r="AT14" i="3"/>
  <c r="AT20" i="3"/>
  <c r="AR24" i="3"/>
  <c r="AT8" i="3"/>
  <c r="AR12" i="3"/>
  <c r="AT23" i="3"/>
  <c r="AT39" i="3"/>
  <c r="AS42" i="3"/>
  <c r="AT34" i="3"/>
  <c r="AT50" i="3"/>
  <c r="AR54" i="3"/>
  <c r="AT11" i="3"/>
  <c r="AT45" i="3"/>
  <c r="AS54" i="3"/>
  <c r="AQ30" i="3"/>
  <c r="AT54" i="3" l="1"/>
  <c r="AL53" i="3" s="1"/>
  <c r="AT30" i="3"/>
  <c r="AL27" i="3" s="1"/>
  <c r="AT18" i="3"/>
  <c r="AL14" i="3" s="1"/>
  <c r="AT12" i="3"/>
  <c r="AT48" i="3"/>
  <c r="AL46" i="3" s="1"/>
  <c r="AT42" i="3"/>
  <c r="AL38" i="3" s="1"/>
  <c r="AT24" i="3"/>
  <c r="AL23" i="3" s="1"/>
  <c r="AT36" i="3"/>
  <c r="AL35" i="3" s="1"/>
  <c r="AL16" i="3" l="1"/>
  <c r="AL52" i="3"/>
  <c r="AL50" i="3"/>
  <c r="AL51" i="3"/>
  <c r="AL28" i="3"/>
  <c r="AL17" i="3"/>
  <c r="AL15" i="3"/>
  <c r="AL21" i="3"/>
  <c r="AL22" i="3"/>
  <c r="AL29" i="3"/>
  <c r="AL33" i="3"/>
  <c r="AL20" i="3"/>
  <c r="AL26" i="3"/>
  <c r="AL40" i="3"/>
  <c r="AL11" i="3"/>
  <c r="AL10" i="3"/>
  <c r="AL8" i="3"/>
  <c r="AL34" i="3"/>
  <c r="AL41" i="3"/>
  <c r="AL47" i="3"/>
  <c r="AL32" i="3"/>
  <c r="AL9" i="3"/>
  <c r="AL45" i="3"/>
  <c r="AL39" i="3"/>
  <c r="AL44" i="3"/>
  <c r="AL54" i="3" l="1"/>
  <c r="AN51" i="3" s="1"/>
  <c r="AL24" i="3"/>
  <c r="AN21" i="3" s="1"/>
  <c r="AL18" i="3"/>
  <c r="AN16" i="3" s="1"/>
  <c r="AL30" i="3"/>
  <c r="AN26" i="3" s="1"/>
  <c r="AL48" i="3"/>
  <c r="AN46" i="3" s="1"/>
  <c r="AL36" i="3"/>
  <c r="AN32" i="3" s="1"/>
  <c r="AL42" i="3"/>
  <c r="AN38" i="3" s="1"/>
  <c r="AL12" i="3"/>
  <c r="AN9" i="3" s="1"/>
  <c r="AN15" i="3" l="1"/>
  <c r="AN14" i="3"/>
  <c r="AN52" i="3"/>
  <c r="AN53" i="3"/>
  <c r="AN50" i="3"/>
  <c r="AN23" i="3"/>
  <c r="AN20" i="3"/>
  <c r="AN22" i="3"/>
  <c r="AN8" i="3"/>
  <c r="AN10" i="3"/>
  <c r="AN17" i="3"/>
  <c r="AN47" i="3"/>
  <c r="AN29" i="3"/>
  <c r="AN27" i="3"/>
  <c r="AN28" i="3"/>
  <c r="AN45" i="3"/>
  <c r="AN44" i="3"/>
  <c r="AN41" i="3"/>
  <c r="AN33" i="3"/>
  <c r="AN35" i="3"/>
  <c r="AN11" i="3"/>
  <c r="AN39" i="3"/>
  <c r="AN40" i="3"/>
  <c r="AN34" i="3"/>
  <c r="AA50" i="3" l="1"/>
  <c r="AA53" i="3"/>
  <c r="AA17" i="3"/>
  <c r="AA51" i="3"/>
  <c r="AA52" i="3"/>
  <c r="AA23" i="3"/>
  <c r="AA14" i="3"/>
  <c r="AA10" i="3"/>
  <c r="AA11" i="3"/>
  <c r="AA8" i="3"/>
  <c r="AA16" i="3"/>
  <c r="AA21" i="3"/>
  <c r="AA29" i="3"/>
  <c r="AA15" i="3"/>
  <c r="AA22" i="3"/>
  <c r="AA20" i="3"/>
  <c r="AA34" i="3"/>
  <c r="AA45" i="3"/>
  <c r="AA27" i="3"/>
  <c r="AA26" i="3"/>
  <c r="AA39" i="3"/>
  <c r="AA46" i="3"/>
  <c r="AA28" i="3"/>
  <c r="AA44" i="3"/>
  <c r="AA41" i="3"/>
  <c r="AA47" i="3"/>
  <c r="AA40" i="3"/>
  <c r="AA38" i="3"/>
  <c r="AA35" i="3"/>
  <c r="AA33" i="3"/>
  <c r="AA32" i="3"/>
  <c r="AA9" i="3"/>
  <c r="L51" i="3" l="1"/>
  <c r="L52" i="3"/>
  <c r="J51" i="3"/>
  <c r="AO50" i="3" s="1"/>
  <c r="AZ38" i="3" s="1"/>
  <c r="S65" i="3" s="1"/>
  <c r="T65" i="3" s="1"/>
  <c r="BF37" i="3" s="1"/>
  <c r="M52" i="3"/>
  <c r="J52" i="3"/>
  <c r="AO51" i="3" s="1"/>
  <c r="AZ23" i="3" s="1"/>
  <c r="O51" i="3"/>
  <c r="N51" i="3"/>
  <c r="O21" i="3"/>
  <c r="M51" i="3"/>
  <c r="O16" i="3"/>
  <c r="L9" i="3"/>
  <c r="N16" i="3"/>
  <c r="N52" i="3"/>
  <c r="O52" i="3"/>
  <c r="M16" i="3"/>
  <c r="M45" i="3"/>
  <c r="O53" i="3"/>
  <c r="J16" i="3"/>
  <c r="AO15" i="3" s="1"/>
  <c r="AZ11" i="3" s="1"/>
  <c r="N53" i="3"/>
  <c r="L16" i="3"/>
  <c r="O54" i="3"/>
  <c r="J53" i="3"/>
  <c r="M54" i="3"/>
  <c r="N54" i="3"/>
  <c r="L54" i="3"/>
  <c r="J54" i="3"/>
  <c r="L53" i="3"/>
  <c r="M9" i="3"/>
  <c r="N9" i="3"/>
  <c r="O9" i="3"/>
  <c r="M53" i="3"/>
  <c r="O17" i="3"/>
  <c r="L12" i="3"/>
  <c r="N45" i="3"/>
  <c r="J45" i="3"/>
  <c r="AO44" i="3" s="1"/>
  <c r="AZ22" i="3" s="1"/>
  <c r="M18" i="3"/>
  <c r="N18" i="3"/>
  <c r="L46" i="3"/>
  <c r="J15" i="3"/>
  <c r="AO14" i="3" s="1"/>
  <c r="AZ26" i="3" s="1"/>
  <c r="L17" i="3"/>
  <c r="L18" i="3"/>
  <c r="M17" i="3"/>
  <c r="N15" i="3"/>
  <c r="L45" i="3"/>
  <c r="L15" i="3"/>
  <c r="O15" i="3"/>
  <c r="O48" i="3"/>
  <c r="N17" i="3"/>
  <c r="O46" i="3"/>
  <c r="J17" i="3"/>
  <c r="O18" i="3"/>
  <c r="M15" i="3"/>
  <c r="J9" i="3"/>
  <c r="AO8" i="3" s="1"/>
  <c r="AZ10" i="3" s="1"/>
  <c r="M47" i="3"/>
  <c r="J18" i="3"/>
  <c r="N21" i="3"/>
  <c r="J24" i="3"/>
  <c r="O24" i="3"/>
  <c r="M23" i="3"/>
  <c r="N23" i="3"/>
  <c r="N48" i="3"/>
  <c r="O23" i="3"/>
  <c r="O27" i="3"/>
  <c r="J47" i="3"/>
  <c r="M46" i="3"/>
  <c r="N46" i="3"/>
  <c r="O45" i="3"/>
  <c r="M22" i="3"/>
  <c r="N22" i="3"/>
  <c r="M21" i="3"/>
  <c r="N24" i="3"/>
  <c r="L22" i="3"/>
  <c r="J23" i="3"/>
  <c r="L24" i="3"/>
  <c r="L23" i="3"/>
  <c r="J22" i="3"/>
  <c r="AO21" i="3" s="1"/>
  <c r="AZ31" i="3" s="1"/>
  <c r="J21" i="3"/>
  <c r="AO20" i="3" s="1"/>
  <c r="AZ14" i="3" s="1"/>
  <c r="O22" i="3"/>
  <c r="L21" i="3"/>
  <c r="M24" i="3"/>
  <c r="J46" i="3"/>
  <c r="AO45" i="3" s="1"/>
  <c r="AZ39" i="3" s="1"/>
  <c r="L47" i="3"/>
  <c r="J27" i="3"/>
  <c r="AO26" i="3" s="1"/>
  <c r="AZ30" i="3" s="1"/>
  <c r="M27" i="3"/>
  <c r="L30" i="3"/>
  <c r="N27" i="3"/>
  <c r="M28" i="3"/>
  <c r="O47" i="3"/>
  <c r="J28" i="3"/>
  <c r="AO27" i="3" s="1"/>
  <c r="AZ15" i="3" s="1"/>
  <c r="L28" i="3"/>
  <c r="L27" i="3"/>
  <c r="L29" i="3"/>
  <c r="N28" i="3"/>
  <c r="M29" i="3"/>
  <c r="O28" i="3"/>
  <c r="J29" i="3"/>
  <c r="L48" i="3"/>
  <c r="J48" i="3"/>
  <c r="M48" i="3"/>
  <c r="O29" i="3"/>
  <c r="N30" i="3"/>
  <c r="J30" i="3"/>
  <c r="O30" i="3"/>
  <c r="N47" i="3"/>
  <c r="N29" i="3"/>
  <c r="M30" i="3"/>
  <c r="O36" i="3"/>
  <c r="J34" i="3"/>
  <c r="AO33" i="3" s="1"/>
  <c r="AZ35" i="3" s="1"/>
  <c r="M36" i="3"/>
  <c r="L36" i="3"/>
  <c r="J35" i="3"/>
  <c r="O34" i="3"/>
  <c r="O33" i="3"/>
  <c r="N34" i="3"/>
  <c r="N33" i="3"/>
  <c r="J36" i="3"/>
  <c r="M34" i="3"/>
  <c r="M33" i="3"/>
  <c r="O35" i="3"/>
  <c r="N35" i="3"/>
  <c r="N36" i="3"/>
  <c r="L35" i="3"/>
  <c r="L34" i="3"/>
  <c r="M35" i="3"/>
  <c r="L33" i="3"/>
  <c r="J33" i="3"/>
  <c r="AO32" i="3" s="1"/>
  <c r="AZ18" i="3" s="1"/>
  <c r="O10" i="3"/>
  <c r="M42" i="3"/>
  <c r="M41" i="3"/>
  <c r="M40" i="3"/>
  <c r="M39" i="3"/>
  <c r="O41" i="3"/>
  <c r="L40" i="3"/>
  <c r="L39" i="3"/>
  <c r="O42" i="3"/>
  <c r="N41" i="3"/>
  <c r="J40" i="3"/>
  <c r="AO39" i="3" s="1"/>
  <c r="AZ19" i="3" s="1"/>
  <c r="J39" i="3"/>
  <c r="AO38" i="3" s="1"/>
  <c r="AZ34" i="3" s="1"/>
  <c r="N42" i="3"/>
  <c r="L41" i="3"/>
  <c r="L42" i="3"/>
  <c r="J41" i="3"/>
  <c r="J42" i="3"/>
  <c r="N40" i="3"/>
  <c r="N39" i="3"/>
  <c r="O40" i="3"/>
  <c r="O39" i="3"/>
  <c r="M10" i="3"/>
  <c r="M12" i="3"/>
  <c r="N12" i="3"/>
  <c r="J10" i="3"/>
  <c r="AO9" i="3" s="1"/>
  <c r="AZ27" i="3" s="1"/>
  <c r="J11" i="3"/>
  <c r="N11" i="3"/>
  <c r="N10" i="3"/>
  <c r="L10" i="3"/>
  <c r="O12" i="3"/>
  <c r="O11" i="3"/>
  <c r="M11" i="3"/>
  <c r="L11" i="3"/>
  <c r="J12" i="3"/>
  <c r="S64" i="3" l="1"/>
  <c r="T64" i="3" s="1"/>
  <c r="BF36" i="3" s="1"/>
  <c r="P52" i="3"/>
  <c r="K52" i="3"/>
  <c r="P51" i="3"/>
  <c r="K51" i="3"/>
  <c r="P16" i="3"/>
  <c r="P9" i="3"/>
  <c r="K16" i="3"/>
  <c r="P54" i="3"/>
  <c r="P45" i="3"/>
  <c r="K54" i="3"/>
  <c r="K9" i="3"/>
  <c r="P46" i="3"/>
  <c r="K18" i="3"/>
  <c r="P53" i="3"/>
  <c r="K53" i="3"/>
  <c r="K45" i="3"/>
  <c r="P15" i="3"/>
  <c r="P18" i="3"/>
  <c r="P47" i="3"/>
  <c r="K46" i="3"/>
  <c r="K15" i="3"/>
  <c r="P17" i="3"/>
  <c r="K48" i="3"/>
  <c r="K17" i="3"/>
  <c r="K47" i="3"/>
  <c r="K22" i="3"/>
  <c r="P22" i="3"/>
  <c r="P21" i="3"/>
  <c r="K21" i="3"/>
  <c r="P29" i="3"/>
  <c r="P23" i="3"/>
  <c r="K23" i="3"/>
  <c r="K30" i="3"/>
  <c r="P28" i="3"/>
  <c r="P24" i="3"/>
  <c r="K24" i="3"/>
  <c r="K28" i="3"/>
  <c r="P48" i="3"/>
  <c r="K27" i="3"/>
  <c r="K29" i="3"/>
  <c r="P27" i="3"/>
  <c r="P30" i="3"/>
  <c r="K12" i="3"/>
  <c r="K10" i="3"/>
  <c r="P10" i="3"/>
  <c r="K39" i="3"/>
  <c r="P39" i="3"/>
  <c r="K36" i="3"/>
  <c r="P36" i="3"/>
  <c r="K42" i="3"/>
  <c r="P42" i="3"/>
  <c r="K40" i="3"/>
  <c r="P40" i="3"/>
  <c r="P33" i="3"/>
  <c r="K33" i="3"/>
  <c r="K41" i="3"/>
  <c r="P41" i="3"/>
  <c r="P34" i="3"/>
  <c r="K34" i="3"/>
  <c r="K35" i="3"/>
  <c r="P35" i="3"/>
  <c r="P12" i="3"/>
  <c r="P11" i="3"/>
  <c r="K11" i="3"/>
</calcChain>
</file>

<file path=xl/sharedStrings.xml><?xml version="1.0" encoding="utf-8"?>
<sst xmlns="http://schemas.openxmlformats.org/spreadsheetml/2006/main" count="4552" uniqueCount="2581">
  <si>
    <t>English</t>
  </si>
  <si>
    <t>Albanian</t>
  </si>
  <si>
    <t>Arabic</t>
  </si>
  <si>
    <t>Armenian</t>
  </si>
  <si>
    <t>Azerbaijan</t>
  </si>
  <si>
    <t>Bulgarian</t>
  </si>
  <si>
    <t>Català</t>
  </si>
  <si>
    <t>Chinese (Simplified)</t>
  </si>
  <si>
    <t>Chinese (Traditional)</t>
  </si>
  <si>
    <t>Croatian</t>
  </si>
  <si>
    <t>Czech</t>
  </si>
  <si>
    <t>Danish</t>
  </si>
  <si>
    <t>Dutch</t>
  </si>
  <si>
    <t>French</t>
  </si>
  <si>
    <t>Georgian</t>
  </si>
  <si>
    <t>German</t>
  </si>
  <si>
    <t>Greek</t>
  </si>
  <si>
    <t>Hebrew</t>
  </si>
  <si>
    <t>Hungarian</t>
  </si>
  <si>
    <t>Indonesia</t>
  </si>
  <si>
    <t>Icelandic</t>
  </si>
  <si>
    <t>Italian</t>
  </si>
  <si>
    <t>Korean</t>
  </si>
  <si>
    <t>Lithuanian</t>
  </si>
  <si>
    <t>Macedonian</t>
  </si>
  <si>
    <t>Maltese</t>
  </si>
  <si>
    <t>Norwegian</t>
  </si>
  <si>
    <t>Persian</t>
  </si>
  <si>
    <t>Polish</t>
  </si>
  <si>
    <t>Portuguese</t>
  </si>
  <si>
    <t>Romanian</t>
  </si>
  <si>
    <t>Russian</t>
  </si>
  <si>
    <t>Serbian</t>
  </si>
  <si>
    <t>Slovak</t>
  </si>
  <si>
    <t>Slovenian</t>
  </si>
  <si>
    <t>Spanish</t>
  </si>
  <si>
    <t>Swedish</t>
  </si>
  <si>
    <t>Thai</t>
  </si>
  <si>
    <t>Turkish</t>
  </si>
  <si>
    <t>Vietnamese</t>
  </si>
  <si>
    <t>Ukrainian</t>
  </si>
  <si>
    <t>Urdu</t>
  </si>
  <si>
    <t>Uzbek</t>
  </si>
  <si>
    <t>۲۰۱۰ فٹبال عالمی کپ ٹورنمنٹ کا خاکہ</t>
  </si>
  <si>
    <t>Group Stage</t>
  </si>
  <si>
    <t>Grupet</t>
  </si>
  <si>
    <t>الدور الأول</t>
  </si>
  <si>
    <t>Խմբային փուլ</t>
  </si>
  <si>
    <t>Qrup Mərhələsi</t>
  </si>
  <si>
    <t>Групова фаза</t>
  </si>
  <si>
    <t>Fase de grups</t>
  </si>
  <si>
    <t>小组赛阶段</t>
  </si>
  <si>
    <t>分組賽</t>
  </si>
  <si>
    <t>Prvi krug</t>
  </si>
  <si>
    <t>Základní skupiny</t>
  </si>
  <si>
    <t>Gruppespil</t>
  </si>
  <si>
    <t>Groepsfase</t>
  </si>
  <si>
    <t>Phase de groupes</t>
  </si>
  <si>
    <t>ჯგუფური ეტაპი</t>
  </si>
  <si>
    <t>Gruppenphase</t>
  </si>
  <si>
    <t>Φάση Ομίλων</t>
  </si>
  <si>
    <t>שלב הבתים</t>
  </si>
  <si>
    <t>Csoportkörök</t>
  </si>
  <si>
    <t>Babak Kualifikasi</t>
  </si>
  <si>
    <t>Riðlakeppnin</t>
  </si>
  <si>
    <t>Fase a gironi</t>
  </si>
  <si>
    <t>조별 리그</t>
  </si>
  <si>
    <t>Grupės Etapas</t>
  </si>
  <si>
    <t>Фаза по групи</t>
  </si>
  <si>
    <t>Fażi tal-Gruppi</t>
  </si>
  <si>
    <t>Gruppespill</t>
  </si>
  <si>
    <t>مرحله گروهی</t>
  </si>
  <si>
    <t>Faza Grupowa</t>
  </si>
  <si>
    <t>Fase de grupos</t>
  </si>
  <si>
    <t>Faza Grupelor</t>
  </si>
  <si>
    <t>Групповой Раунд</t>
  </si>
  <si>
    <t>Grupno takmičenje</t>
  </si>
  <si>
    <t>Skupinová fáza</t>
  </si>
  <si>
    <t>Skupinski del</t>
  </si>
  <si>
    <t>Gruppspel</t>
  </si>
  <si>
    <t>รอบแรก</t>
  </si>
  <si>
    <t>Grup Aşaması</t>
  </si>
  <si>
    <t>Vòng Bảng</t>
  </si>
  <si>
    <t>Груповий етап</t>
  </si>
  <si>
    <t>گروپ بندی</t>
  </si>
  <si>
    <t>Гуруҳ босқичи</t>
  </si>
  <si>
    <t>Round of 16</t>
  </si>
  <si>
    <t>Rundi I 16</t>
  </si>
  <si>
    <t>دور الستة عشر</t>
  </si>
  <si>
    <t>1/8 Եզրափակիչ</t>
  </si>
  <si>
    <t>16-da bir raund</t>
  </si>
  <si>
    <t>1/8 - финали</t>
  </si>
  <si>
    <t>Vuitens de final</t>
  </si>
  <si>
    <t>16强赛</t>
  </si>
  <si>
    <t>十六強</t>
  </si>
  <si>
    <t>Drugi krug</t>
  </si>
  <si>
    <t>Osmifinále</t>
  </si>
  <si>
    <t>Runde af 16</t>
  </si>
  <si>
    <t>Achtste finales</t>
  </si>
  <si>
    <t>Huitièmes de finale</t>
  </si>
  <si>
    <t>მერვედფინალი</t>
  </si>
  <si>
    <t>Achtelfinale</t>
  </si>
  <si>
    <t>Φάση των 16</t>
  </si>
  <si>
    <t>שמינית גמר</t>
  </si>
  <si>
    <t>Nyolcaddöntők</t>
  </si>
  <si>
    <t>Per Delapan Final</t>
  </si>
  <si>
    <t>16 liða úrslit</t>
  </si>
  <si>
    <t>Ottavi di finale</t>
  </si>
  <si>
    <t>16강전</t>
  </si>
  <si>
    <t>16-tuko Raundas</t>
  </si>
  <si>
    <t>1/8 финале</t>
  </si>
  <si>
    <t>L-Aħħar Sittax</t>
  </si>
  <si>
    <t>8-dels finale</t>
  </si>
  <si>
    <t xml:space="preserve"> یک هشتم نهائی</t>
  </si>
  <si>
    <t>1/8 Finału</t>
  </si>
  <si>
    <t>Oitavos de Final</t>
  </si>
  <si>
    <t>Optimi</t>
  </si>
  <si>
    <t>1/8 Финала</t>
  </si>
  <si>
    <t>Šesnaestina finala</t>
  </si>
  <si>
    <t>Osemfinále</t>
  </si>
  <si>
    <t>Osminafinala</t>
  </si>
  <si>
    <t>Octavos de final</t>
  </si>
  <si>
    <t>Åttondelsfinal</t>
  </si>
  <si>
    <t>รอบสอง</t>
  </si>
  <si>
    <t>Son 16</t>
  </si>
  <si>
    <t>Vòng 1/16</t>
  </si>
  <si>
    <t>1/8 фіналу</t>
  </si>
  <si>
    <t>سولھواں دور</t>
  </si>
  <si>
    <t>Нимчорак финал</t>
  </si>
  <si>
    <t>Quarterfinals</t>
  </si>
  <si>
    <t>Qerekfinalja</t>
  </si>
  <si>
    <t>دور الربع نهائي</t>
  </si>
  <si>
    <t>1/4 Եզրափակիչ</t>
  </si>
  <si>
    <t>Dörddə bir Final</t>
  </si>
  <si>
    <t>1/4 - финали</t>
  </si>
  <si>
    <t>Quarts de final</t>
  </si>
  <si>
    <t>8强赛</t>
  </si>
  <si>
    <t>八強</t>
  </si>
  <si>
    <t>Četvrtfinale</t>
  </si>
  <si>
    <t>Čtvrtfinále</t>
  </si>
  <si>
    <t>Kvartfinale</t>
  </si>
  <si>
    <t>Kwartfinales</t>
  </si>
  <si>
    <t>Quart de Finale</t>
  </si>
  <si>
    <t>მეოთხედფინალი</t>
  </si>
  <si>
    <t>Viertelfinale</t>
  </si>
  <si>
    <t>Προημιτελικοί</t>
  </si>
  <si>
    <t>רבע גמר</t>
  </si>
  <si>
    <t>Negyeddöntők</t>
  </si>
  <si>
    <t>Perempat Final</t>
  </si>
  <si>
    <t>8 liða úrslit</t>
  </si>
  <si>
    <t>Quarti di finale</t>
  </si>
  <si>
    <t>8강전</t>
  </si>
  <si>
    <t>Ketvirtfinaliai</t>
  </si>
  <si>
    <t>1/4 финале</t>
  </si>
  <si>
    <t>Kwarti-Finali</t>
  </si>
  <si>
    <t>یک چهارم نهائی</t>
  </si>
  <si>
    <t>Ćwierćfinały</t>
  </si>
  <si>
    <t>Quartos de Final</t>
  </si>
  <si>
    <t>Sferturi de finala</t>
  </si>
  <si>
    <t>Четвертьфиналы</t>
  </si>
  <si>
    <t>Štvrťfinále</t>
  </si>
  <si>
    <t>Četrtfinale</t>
  </si>
  <si>
    <t>Cuartos de Final</t>
  </si>
  <si>
    <t>Kvartsfinal</t>
  </si>
  <si>
    <t>รอบก่อนรองชนะเลิศ</t>
  </si>
  <si>
    <t>Çeyrek Final</t>
  </si>
  <si>
    <t>Tứ kết</t>
  </si>
  <si>
    <t>Чвертьфінал</t>
  </si>
  <si>
    <t>کواٹر فائنل</t>
  </si>
  <si>
    <t>Чорак финал</t>
  </si>
  <si>
    <t>Semi-Finals</t>
  </si>
  <si>
    <t>Gjysmëfinalja</t>
  </si>
  <si>
    <t>دور النصف نهائي</t>
  </si>
  <si>
    <t>Կիսաեզրափակիչ</t>
  </si>
  <si>
    <t>Yarım Final</t>
  </si>
  <si>
    <t>1/2 - финали</t>
  </si>
  <si>
    <t>Semifinals</t>
  </si>
  <si>
    <t>半决赛</t>
  </si>
  <si>
    <t>準決賽</t>
  </si>
  <si>
    <t>Polufinale</t>
  </si>
  <si>
    <t>Semifinále</t>
  </si>
  <si>
    <t>Semifinale</t>
  </si>
  <si>
    <t>Halve finales</t>
  </si>
  <si>
    <t>Demi-Finale</t>
  </si>
  <si>
    <t>ნახევარფინალი</t>
  </si>
  <si>
    <t>Halbfinale</t>
  </si>
  <si>
    <t>Ημιτελικοί</t>
  </si>
  <si>
    <t>חצי גמר</t>
  </si>
  <si>
    <t>Elődöntők</t>
  </si>
  <si>
    <t>Semi Final</t>
  </si>
  <si>
    <t>Undanúrslit</t>
  </si>
  <si>
    <t>Semifinali</t>
  </si>
  <si>
    <t>준결승전</t>
  </si>
  <si>
    <t>Pusfinaliai</t>
  </si>
  <si>
    <t>1/2 финале</t>
  </si>
  <si>
    <t>Semi-Finali</t>
  </si>
  <si>
    <t>نیمه نهائی</t>
  </si>
  <si>
    <t>Półfinały</t>
  </si>
  <si>
    <t>Semi-final</t>
  </si>
  <si>
    <t>Полуфиналы</t>
  </si>
  <si>
    <t>Polfinale</t>
  </si>
  <si>
    <t>Semifinales</t>
  </si>
  <si>
    <t>Semifinal</t>
  </si>
  <si>
    <t>รอบรองชนะเลิศ</t>
  </si>
  <si>
    <t>Yarı Final</t>
  </si>
  <si>
    <t>Bán kết</t>
  </si>
  <si>
    <t>Півфінал</t>
  </si>
  <si>
    <t>سیمی فائنل</t>
  </si>
  <si>
    <t>Ярим финал</t>
  </si>
  <si>
    <t>Third-Place Play-Off</t>
  </si>
  <si>
    <t>Takimi për vendin e tretë</t>
  </si>
  <si>
    <t>تحديد المركزين الثالث والرابع</t>
  </si>
  <si>
    <t>3-րդ տեղի համար եզրափակիչ</t>
  </si>
  <si>
    <t>Üçüncü Yer Uğrunda</t>
  </si>
  <si>
    <t>Мач за трето място</t>
  </si>
  <si>
    <t>3r i 4t lloc</t>
  </si>
  <si>
    <t>季军赛</t>
  </si>
  <si>
    <t>季軍賽</t>
  </si>
  <si>
    <t>Za treće mjesto</t>
  </si>
  <si>
    <t>Zápas o 3.místo</t>
  </si>
  <si>
    <t>Tredjeplads Kamp</t>
  </si>
  <si>
    <t>Derde en vierde plaats</t>
  </si>
  <si>
    <t>Match pour la troisième place</t>
  </si>
  <si>
    <t>მესამე ადგილი</t>
  </si>
  <si>
    <t>Spiel um den dritten Platz</t>
  </si>
  <si>
    <t>Μικρός Τελικός</t>
  </si>
  <si>
    <t>מקום 3-4</t>
  </si>
  <si>
    <t>Bronzmeccs</t>
  </si>
  <si>
    <t>Perebutan Tempat Ketiga</t>
  </si>
  <si>
    <t>Leikur um 3.sæti</t>
  </si>
  <si>
    <t>Finale 3°- 4° posto</t>
  </si>
  <si>
    <t>3,4위전</t>
  </si>
  <si>
    <t>Rungtynės dėl Trečios Vietos</t>
  </si>
  <si>
    <t>Натпревар за трето место</t>
  </si>
  <si>
    <t>Final għat-Tielet u r-Raba' Post</t>
  </si>
  <si>
    <t>Bronsefinale</t>
  </si>
  <si>
    <t>رده بندی</t>
  </si>
  <si>
    <t>Mecz o trzecie miejsce</t>
  </si>
  <si>
    <t>3º/4º lugar</t>
  </si>
  <si>
    <t>Finala mica</t>
  </si>
  <si>
    <t>Матч за Третье Место</t>
  </si>
  <si>
    <t xml:space="preserve">Zápas o 3. miesto </t>
  </si>
  <si>
    <t>Za tretje mesto</t>
  </si>
  <si>
    <t>Tercer puesto</t>
  </si>
  <si>
    <t>Match om tredje pris</t>
  </si>
  <si>
    <t>รอบชิงที่ 3</t>
  </si>
  <si>
    <t>Üçüncülük Maçı</t>
  </si>
  <si>
    <t>Tranh hạng 3</t>
  </si>
  <si>
    <t>Матч за третє місце</t>
  </si>
  <si>
    <t>تیسرے مقام کے لئے کھیل</t>
  </si>
  <si>
    <t>3-ўрин учун баҳс (Play-Off)</t>
  </si>
  <si>
    <t>Final</t>
  </si>
  <si>
    <t>Finalja</t>
  </si>
  <si>
    <t>المباراة النهائية</t>
  </si>
  <si>
    <t>Եզրափակիչ</t>
  </si>
  <si>
    <t>Финал</t>
  </si>
  <si>
    <t>总决赛</t>
  </si>
  <si>
    <t>總決賽</t>
  </si>
  <si>
    <t>Finale</t>
  </si>
  <si>
    <t>Finále</t>
  </si>
  <si>
    <t>ფინალი</t>
  </si>
  <si>
    <t>Τελικός</t>
  </si>
  <si>
    <t>גמר</t>
  </si>
  <si>
    <t>Döntő</t>
  </si>
  <si>
    <t>Úrslit</t>
  </si>
  <si>
    <t>결승전</t>
  </si>
  <si>
    <t>Finalas</t>
  </si>
  <si>
    <t>Финале</t>
  </si>
  <si>
    <t>Finali</t>
  </si>
  <si>
    <t>فینال</t>
  </si>
  <si>
    <t>Finał</t>
  </si>
  <si>
    <t>FINALA</t>
  </si>
  <si>
    <t>รอบชิงชนะเลิศ</t>
  </si>
  <si>
    <t>Chung Kết</t>
  </si>
  <si>
    <t>Фінал</t>
  </si>
  <si>
    <t>فائنل</t>
  </si>
  <si>
    <t>Group</t>
  </si>
  <si>
    <t>Grupi</t>
  </si>
  <si>
    <t>المجموعة</t>
  </si>
  <si>
    <t>Խումբ</t>
  </si>
  <si>
    <t>Qrup</t>
  </si>
  <si>
    <t>Група</t>
  </si>
  <si>
    <t>Grup</t>
  </si>
  <si>
    <t>小组</t>
  </si>
  <si>
    <t>小組</t>
  </si>
  <si>
    <t>Grupa</t>
  </si>
  <si>
    <t>Skupina</t>
  </si>
  <si>
    <t>Gruppe</t>
  </si>
  <si>
    <t>Groep</t>
  </si>
  <si>
    <t>Groupe</t>
  </si>
  <si>
    <t>ჯგუფი</t>
  </si>
  <si>
    <t>Όμιλος</t>
  </si>
  <si>
    <t>בית</t>
  </si>
  <si>
    <t>Csoport</t>
  </si>
  <si>
    <t>Kelompok</t>
  </si>
  <si>
    <t>Riðill</t>
  </si>
  <si>
    <t>Gruppo</t>
  </si>
  <si>
    <t>그룹</t>
  </si>
  <si>
    <t>Grupė</t>
  </si>
  <si>
    <t>Grupp</t>
  </si>
  <si>
    <t>گروه</t>
  </si>
  <si>
    <t>Grupo</t>
  </si>
  <si>
    <t>Группа</t>
  </si>
  <si>
    <t>สาย</t>
  </si>
  <si>
    <t>Bảng</t>
  </si>
  <si>
    <t>Гуруҳ</t>
  </si>
  <si>
    <t>PL</t>
  </si>
  <si>
    <t>L</t>
  </si>
  <si>
    <t>لعب</t>
  </si>
  <si>
    <t>Խ</t>
  </si>
  <si>
    <t>O</t>
  </si>
  <si>
    <t>М</t>
  </si>
  <si>
    <t>J</t>
  </si>
  <si>
    <t>场次</t>
  </si>
  <si>
    <t>賽</t>
  </si>
  <si>
    <t>Z</t>
  </si>
  <si>
    <t>SP</t>
  </si>
  <si>
    <t>WG</t>
  </si>
  <si>
    <t>თ</t>
  </si>
  <si>
    <t>ΑΓ</t>
  </si>
  <si>
    <t>משחקים</t>
  </si>
  <si>
    <t>M</t>
  </si>
  <si>
    <t>Main</t>
  </si>
  <si>
    <t>G</t>
  </si>
  <si>
    <t>경기</t>
  </si>
  <si>
    <t>Žst</t>
  </si>
  <si>
    <t>О</t>
  </si>
  <si>
    <t>S</t>
  </si>
  <si>
    <t>بازی</t>
  </si>
  <si>
    <t>И</t>
  </si>
  <si>
    <t>UT</t>
  </si>
  <si>
    <t>Sp</t>
  </si>
  <si>
    <t>แข่ง</t>
  </si>
  <si>
    <t>Trận</t>
  </si>
  <si>
    <t>І</t>
  </si>
  <si>
    <t>کھیلے گئے مقابلے</t>
  </si>
  <si>
    <t>Ў</t>
  </si>
  <si>
    <t>W</t>
  </si>
  <si>
    <t>F</t>
  </si>
  <si>
    <t>فاز</t>
  </si>
  <si>
    <t>Հ</t>
  </si>
  <si>
    <t>Q</t>
  </si>
  <si>
    <t>П</t>
  </si>
  <si>
    <t>胜</t>
  </si>
  <si>
    <t>勝</t>
  </si>
  <si>
    <t>V</t>
  </si>
  <si>
    <t>მოგ</t>
  </si>
  <si>
    <t>Ν</t>
  </si>
  <si>
    <t>נצחונות</t>
  </si>
  <si>
    <t>GY</t>
  </si>
  <si>
    <t>Menang</t>
  </si>
  <si>
    <t>U</t>
  </si>
  <si>
    <t>승</t>
  </si>
  <si>
    <t>R</t>
  </si>
  <si>
    <t>برد</t>
  </si>
  <si>
    <t>В</t>
  </si>
  <si>
    <t>P</t>
  </si>
  <si>
    <t>ชนะ</t>
  </si>
  <si>
    <t>T</t>
  </si>
  <si>
    <t>جیت</t>
  </si>
  <si>
    <t>Ю</t>
  </si>
  <si>
    <t>DRAW</t>
  </si>
  <si>
    <t>BAR</t>
  </si>
  <si>
    <t>تعادل</t>
  </si>
  <si>
    <t>Ո</t>
  </si>
  <si>
    <t>H</t>
  </si>
  <si>
    <t>Р</t>
  </si>
  <si>
    <t>E</t>
  </si>
  <si>
    <t>平</t>
  </si>
  <si>
    <t>和</t>
  </si>
  <si>
    <t>Uafgjort</t>
  </si>
  <si>
    <t>ფრე</t>
  </si>
  <si>
    <t>Ι</t>
  </si>
  <si>
    <t>תיקו</t>
  </si>
  <si>
    <t>D</t>
  </si>
  <si>
    <t>Seri</t>
  </si>
  <si>
    <t>Jafnt</t>
  </si>
  <si>
    <t>무</t>
  </si>
  <si>
    <t>Lyg</t>
  </si>
  <si>
    <t>Н</t>
  </si>
  <si>
    <t>I</t>
  </si>
  <si>
    <t>مساوی</t>
  </si>
  <si>
    <t>NER.</t>
  </si>
  <si>
    <t>เสมอ</t>
  </si>
  <si>
    <t>B</t>
  </si>
  <si>
    <t>برابر</t>
  </si>
  <si>
    <t>Д</t>
  </si>
  <si>
    <t>خسر</t>
  </si>
  <si>
    <t>Պ</t>
  </si>
  <si>
    <t>З</t>
  </si>
  <si>
    <t>负</t>
  </si>
  <si>
    <t>負</t>
  </si>
  <si>
    <t>წაგ</t>
  </si>
  <si>
    <t>N</t>
  </si>
  <si>
    <t xml:space="preserve">Η </t>
  </si>
  <si>
    <t>הפסדים</t>
  </si>
  <si>
    <t>Kalah</t>
  </si>
  <si>
    <t>패</t>
  </si>
  <si>
    <t>باخت</t>
  </si>
  <si>
    <t>แพ้</t>
  </si>
  <si>
    <t>ہارے گئے مقابلے</t>
  </si>
  <si>
    <t>GF - GA</t>
  </si>
  <si>
    <t>GSH-GP</t>
  </si>
  <si>
    <t>عليه - له</t>
  </si>
  <si>
    <t>ԽԳ-ԲԳ</t>
  </si>
  <si>
    <t>QV - QB</t>
  </si>
  <si>
    <t>Гол. Разл.</t>
  </si>
  <si>
    <t>GF - GC</t>
  </si>
  <si>
    <t>得失球</t>
  </si>
  <si>
    <t>得球 - 失球</t>
  </si>
  <si>
    <t>GV - GI</t>
  </si>
  <si>
    <t>MF - MI</t>
  </si>
  <si>
    <t>DV-DT</t>
  </si>
  <si>
    <t>BP - BC</t>
  </si>
  <si>
    <t>გგ - მგ</t>
  </si>
  <si>
    <t>ET - KT</t>
  </si>
  <si>
    <t>Υ-Κ</t>
  </si>
  <si>
    <t>יחס שערים</t>
  </si>
  <si>
    <t>Gólkül.</t>
  </si>
  <si>
    <t xml:space="preserve">Skor </t>
  </si>
  <si>
    <t>S - F</t>
  </si>
  <si>
    <t>GF - GS</t>
  </si>
  <si>
    <t>골득실</t>
  </si>
  <si>
    <t>Įm - Pr</t>
  </si>
  <si>
    <t>Разлика</t>
  </si>
  <si>
    <t>GF - GK</t>
  </si>
  <si>
    <t>Mål</t>
  </si>
  <si>
    <t>خورده-زده</t>
  </si>
  <si>
    <t>Z - S</t>
  </si>
  <si>
    <t>GM - GS</t>
  </si>
  <si>
    <t>GM - GP</t>
  </si>
  <si>
    <t>З - П</t>
  </si>
  <si>
    <t>GD - GP</t>
  </si>
  <si>
    <t>GS-GI</t>
  </si>
  <si>
    <t>GM – IM</t>
  </si>
  <si>
    <t>ได้ - เสีย</t>
  </si>
  <si>
    <t>A - Y</t>
  </si>
  <si>
    <t>Hiệu số</t>
  </si>
  <si>
    <t xml:space="preserve">М </t>
  </si>
  <si>
    <t>گول کئے- انکے خلاف گول کئے گئے</t>
  </si>
  <si>
    <t>КиритГол-ЎткГол</t>
  </si>
  <si>
    <t>PNT</t>
  </si>
  <si>
    <t>PIK</t>
  </si>
  <si>
    <t>النقاط</t>
  </si>
  <si>
    <t>Մ</t>
  </si>
  <si>
    <t>Xal</t>
  </si>
  <si>
    <t>Т</t>
  </si>
  <si>
    <t>Punts</t>
  </si>
  <si>
    <t>积分</t>
  </si>
  <si>
    <t>分數</t>
  </si>
  <si>
    <t>Body</t>
  </si>
  <si>
    <t>PTS</t>
  </si>
  <si>
    <t>ქულა</t>
  </si>
  <si>
    <t>PKT</t>
  </si>
  <si>
    <t>ΒΘ</t>
  </si>
  <si>
    <t>נקודות</t>
  </si>
  <si>
    <t>Nilai</t>
  </si>
  <si>
    <t>Stig</t>
  </si>
  <si>
    <t>Punti</t>
  </si>
  <si>
    <t>승점</t>
  </si>
  <si>
    <t>Tšk</t>
  </si>
  <si>
    <t>Б</t>
  </si>
  <si>
    <t>امتیاز</t>
  </si>
  <si>
    <t>Pkt</t>
  </si>
  <si>
    <t>ОЧКИ</t>
  </si>
  <si>
    <t>BOD</t>
  </si>
  <si>
    <t>คะแนน</t>
  </si>
  <si>
    <t>Điểm</t>
  </si>
  <si>
    <t>نشان</t>
  </si>
  <si>
    <t>Очколар</t>
  </si>
  <si>
    <t>Sun</t>
  </si>
  <si>
    <t>Diel</t>
  </si>
  <si>
    <t>الأحد</t>
  </si>
  <si>
    <t>Կիր.</t>
  </si>
  <si>
    <t>Нед</t>
  </si>
  <si>
    <t>Diu</t>
  </si>
  <si>
    <t>周日</t>
  </si>
  <si>
    <t>Ned</t>
  </si>
  <si>
    <t>Ne</t>
  </si>
  <si>
    <t>Søn</t>
  </si>
  <si>
    <t>Zo</t>
  </si>
  <si>
    <t>კვირა</t>
  </si>
  <si>
    <t>Κυρ</t>
  </si>
  <si>
    <t>ראשון</t>
  </si>
  <si>
    <t>Vas</t>
  </si>
  <si>
    <t>Min</t>
  </si>
  <si>
    <t>Dom</t>
  </si>
  <si>
    <t>일</t>
  </si>
  <si>
    <t>Sekm</t>
  </si>
  <si>
    <t>Ħad</t>
  </si>
  <si>
    <t>یکشنبه</t>
  </si>
  <si>
    <t>Nd</t>
  </si>
  <si>
    <t>Dum</t>
  </si>
  <si>
    <t>Вс</t>
  </si>
  <si>
    <t>Sön</t>
  </si>
  <si>
    <t>อาทิตย์</t>
  </si>
  <si>
    <t>Paz</t>
  </si>
  <si>
    <t>CN</t>
  </si>
  <si>
    <t>Нд</t>
  </si>
  <si>
    <t>اتوار</t>
  </si>
  <si>
    <t>Якш</t>
  </si>
  <si>
    <t>Mon</t>
  </si>
  <si>
    <t>Hënë</t>
  </si>
  <si>
    <t>الاثنين</t>
  </si>
  <si>
    <t>Երկ.</t>
  </si>
  <si>
    <t>BE</t>
  </si>
  <si>
    <t>Пон</t>
  </si>
  <si>
    <t>Dil</t>
  </si>
  <si>
    <t>周一</t>
  </si>
  <si>
    <t>Pon</t>
  </si>
  <si>
    <t>Po</t>
  </si>
  <si>
    <t>Man</t>
  </si>
  <si>
    <t>Ma</t>
  </si>
  <si>
    <t>ორშ</t>
  </si>
  <si>
    <t>Δευ</t>
  </si>
  <si>
    <t>שני</t>
  </si>
  <si>
    <t>Hét</t>
  </si>
  <si>
    <t>Sen</t>
  </si>
  <si>
    <t>Mán</t>
  </si>
  <si>
    <t>Lun</t>
  </si>
  <si>
    <t>월</t>
  </si>
  <si>
    <t>Pirm</t>
  </si>
  <si>
    <t>Tne</t>
  </si>
  <si>
    <t>دوشنبه</t>
  </si>
  <si>
    <t>Pn</t>
  </si>
  <si>
    <t>Seg</t>
  </si>
  <si>
    <t>Пн</t>
  </si>
  <si>
    <t>Mån</t>
  </si>
  <si>
    <t>จันทร์</t>
  </si>
  <si>
    <t>Pzt</t>
  </si>
  <si>
    <t>T2</t>
  </si>
  <si>
    <t>پیر</t>
  </si>
  <si>
    <t>Душ</t>
  </si>
  <si>
    <t>Tue</t>
  </si>
  <si>
    <t>Mar</t>
  </si>
  <si>
    <t>الثلاثاء</t>
  </si>
  <si>
    <t>Երեք.</t>
  </si>
  <si>
    <t>ÇA</t>
  </si>
  <si>
    <t>Вт</t>
  </si>
  <si>
    <t>Dim</t>
  </si>
  <si>
    <t>周二</t>
  </si>
  <si>
    <t>Uto</t>
  </si>
  <si>
    <t>Út</t>
  </si>
  <si>
    <t>Tir</t>
  </si>
  <si>
    <t>Di</t>
  </si>
  <si>
    <t>სამშ</t>
  </si>
  <si>
    <t>Τρι</t>
  </si>
  <si>
    <t>שלישי</t>
  </si>
  <si>
    <t>Ke</t>
  </si>
  <si>
    <t>Sel</t>
  </si>
  <si>
    <t>Þri</t>
  </si>
  <si>
    <t>화</t>
  </si>
  <si>
    <t>Antr</t>
  </si>
  <si>
    <t>Вто</t>
  </si>
  <si>
    <t>Tli</t>
  </si>
  <si>
    <t>Tirs</t>
  </si>
  <si>
    <t>سه شنبه</t>
  </si>
  <si>
    <t>Wt</t>
  </si>
  <si>
    <t>Ter</t>
  </si>
  <si>
    <t>Ut</t>
  </si>
  <si>
    <t>Tor</t>
  </si>
  <si>
    <t>Tis</t>
  </si>
  <si>
    <t>อังคาร</t>
  </si>
  <si>
    <t>Sal</t>
  </si>
  <si>
    <t>T3</t>
  </si>
  <si>
    <t>منگل</t>
  </si>
  <si>
    <t>Сеш</t>
  </si>
  <si>
    <t>Wed</t>
  </si>
  <si>
    <t>Mër</t>
  </si>
  <si>
    <t>الأربعاء</t>
  </si>
  <si>
    <t>Չոր.</t>
  </si>
  <si>
    <t>Ç</t>
  </si>
  <si>
    <t>Сря</t>
  </si>
  <si>
    <t>Dix</t>
  </si>
  <si>
    <t>周三</t>
  </si>
  <si>
    <t>Sri</t>
  </si>
  <si>
    <t>St</t>
  </si>
  <si>
    <t>Ons</t>
  </si>
  <si>
    <t>Wo</t>
  </si>
  <si>
    <t>ოთხშ</t>
  </si>
  <si>
    <t>Τετ</t>
  </si>
  <si>
    <t>רביעי</t>
  </si>
  <si>
    <t>Sze</t>
  </si>
  <si>
    <t>Rab</t>
  </si>
  <si>
    <t>Mið</t>
  </si>
  <si>
    <t>Mer</t>
  </si>
  <si>
    <t>수</t>
  </si>
  <si>
    <t>Treč</t>
  </si>
  <si>
    <t>Сре</t>
  </si>
  <si>
    <t>Erb</t>
  </si>
  <si>
    <t>چهارشنبه</t>
  </si>
  <si>
    <t>Śr</t>
  </si>
  <si>
    <t>Qua</t>
  </si>
  <si>
    <t>Mie</t>
  </si>
  <si>
    <t>Ср</t>
  </si>
  <si>
    <t>Sre</t>
  </si>
  <si>
    <t>พุธ</t>
  </si>
  <si>
    <t>Çar</t>
  </si>
  <si>
    <t>T4</t>
  </si>
  <si>
    <t>بدھ</t>
  </si>
  <si>
    <t>Чор</t>
  </si>
  <si>
    <t>Thu</t>
  </si>
  <si>
    <t>Enjt</t>
  </si>
  <si>
    <t>الخميس</t>
  </si>
  <si>
    <t>Հինգ.</t>
  </si>
  <si>
    <t>CA</t>
  </si>
  <si>
    <t>Четв</t>
  </si>
  <si>
    <t>Dij</t>
  </si>
  <si>
    <t>周四</t>
  </si>
  <si>
    <t>Čet</t>
  </si>
  <si>
    <t>Čt</t>
  </si>
  <si>
    <t>Do</t>
  </si>
  <si>
    <t>ხუთშ</t>
  </si>
  <si>
    <t>Πεμ</t>
  </si>
  <si>
    <t>חמישי</t>
  </si>
  <si>
    <t>Csü</t>
  </si>
  <si>
    <t>Kam</t>
  </si>
  <si>
    <t>Fim</t>
  </si>
  <si>
    <t>Gio</t>
  </si>
  <si>
    <t>목</t>
  </si>
  <si>
    <t>Ketv</t>
  </si>
  <si>
    <t>Чет</t>
  </si>
  <si>
    <t>Ħam</t>
  </si>
  <si>
    <t>Tors</t>
  </si>
  <si>
    <t>پنجشنبه</t>
  </si>
  <si>
    <t>Cz</t>
  </si>
  <si>
    <t>Qui</t>
  </si>
  <si>
    <t>Joi</t>
  </si>
  <si>
    <t>Чт</t>
  </si>
  <si>
    <t>Št</t>
  </si>
  <si>
    <t>พฤหัส</t>
  </si>
  <si>
    <t>Per</t>
  </si>
  <si>
    <t>T5</t>
  </si>
  <si>
    <t>جمعرات</t>
  </si>
  <si>
    <t>Пай</t>
  </si>
  <si>
    <t>Fri</t>
  </si>
  <si>
    <t>Pre</t>
  </si>
  <si>
    <t>الجمعة</t>
  </si>
  <si>
    <t>Ուրբ.</t>
  </si>
  <si>
    <t>C</t>
  </si>
  <si>
    <t>Пет</t>
  </si>
  <si>
    <t>Div</t>
  </si>
  <si>
    <t>周五</t>
  </si>
  <si>
    <t>Pet</t>
  </si>
  <si>
    <t>Pá</t>
  </si>
  <si>
    <t>Fre</t>
  </si>
  <si>
    <t>Vr</t>
  </si>
  <si>
    <t>პარ</t>
  </si>
  <si>
    <t>Παρ</t>
  </si>
  <si>
    <t>שישי</t>
  </si>
  <si>
    <t>Pé</t>
  </si>
  <si>
    <t>Jum</t>
  </si>
  <si>
    <t>Fös</t>
  </si>
  <si>
    <t>Ven</t>
  </si>
  <si>
    <t>금</t>
  </si>
  <si>
    <t>Penk</t>
  </si>
  <si>
    <t>Ġim</t>
  </si>
  <si>
    <t>جمعه</t>
  </si>
  <si>
    <t>Pt</t>
  </si>
  <si>
    <t>Sex</t>
  </si>
  <si>
    <t>Vin</t>
  </si>
  <si>
    <t>Пт</t>
  </si>
  <si>
    <t>Pi</t>
  </si>
  <si>
    <t>ศุกร์</t>
  </si>
  <si>
    <t>Cum</t>
  </si>
  <si>
    <t>T6</t>
  </si>
  <si>
    <t>جمعہ</t>
  </si>
  <si>
    <t>Жума</t>
  </si>
  <si>
    <t>Sat</t>
  </si>
  <si>
    <t>Sht</t>
  </si>
  <si>
    <t>السبت</t>
  </si>
  <si>
    <t>Շաբ.</t>
  </si>
  <si>
    <t>Ş</t>
  </si>
  <si>
    <t>Съб</t>
  </si>
  <si>
    <t>Dis</t>
  </si>
  <si>
    <t>周六</t>
  </si>
  <si>
    <t>Sub</t>
  </si>
  <si>
    <t>So</t>
  </si>
  <si>
    <t>Lør</t>
  </si>
  <si>
    <t>Za</t>
  </si>
  <si>
    <t>შაბ</t>
  </si>
  <si>
    <t>Σαβ</t>
  </si>
  <si>
    <t>שבת</t>
  </si>
  <si>
    <t>Szo</t>
  </si>
  <si>
    <t>Sab</t>
  </si>
  <si>
    <t>Lau</t>
  </si>
  <si>
    <t>토</t>
  </si>
  <si>
    <t>Šešt</t>
  </si>
  <si>
    <t>Саб</t>
  </si>
  <si>
    <t>Sib</t>
  </si>
  <si>
    <t>شنبه</t>
  </si>
  <si>
    <t>Sam</t>
  </si>
  <si>
    <t>Сб</t>
  </si>
  <si>
    <t>Sob</t>
  </si>
  <si>
    <t>Lör</t>
  </si>
  <si>
    <t>เสาร์</t>
  </si>
  <si>
    <t>Cmt</t>
  </si>
  <si>
    <t>T7</t>
  </si>
  <si>
    <t>سنیچر</t>
  </si>
  <si>
    <t>Шанба</t>
  </si>
  <si>
    <t>Jan</t>
  </si>
  <si>
    <t>كانون ثاني</t>
  </si>
  <si>
    <t>Հունվ.</t>
  </si>
  <si>
    <t>Yan</t>
  </si>
  <si>
    <t>Януари</t>
  </si>
  <si>
    <t>Gen</t>
  </si>
  <si>
    <t>一月</t>
  </si>
  <si>
    <t>Sij</t>
  </si>
  <si>
    <t>Janv</t>
  </si>
  <si>
    <t>იან</t>
  </si>
  <si>
    <t>Ιαν</t>
  </si>
  <si>
    <t>ינואר</t>
  </si>
  <si>
    <t>1월</t>
  </si>
  <si>
    <t>Saus</t>
  </si>
  <si>
    <t>Јан</t>
  </si>
  <si>
    <t>زانویه</t>
  </si>
  <si>
    <t>Sty</t>
  </si>
  <si>
    <t>Ian</t>
  </si>
  <si>
    <t>Янв</t>
  </si>
  <si>
    <t>Ene</t>
  </si>
  <si>
    <t>jan</t>
  </si>
  <si>
    <t>มกราคม</t>
  </si>
  <si>
    <t>Oca</t>
  </si>
  <si>
    <t>Tháng 1</t>
  </si>
  <si>
    <t>Січ</t>
  </si>
  <si>
    <t>جنوری</t>
  </si>
  <si>
    <t>Feb</t>
  </si>
  <si>
    <t>Shk</t>
  </si>
  <si>
    <t>شباط</t>
  </si>
  <si>
    <t>Փետր.</t>
  </si>
  <si>
    <t>Fev</t>
  </si>
  <si>
    <t>Февруари</t>
  </si>
  <si>
    <t>二月</t>
  </si>
  <si>
    <t>Vel</t>
  </si>
  <si>
    <t>Févr</t>
  </si>
  <si>
    <t>თებ</t>
  </si>
  <si>
    <t>Φεβ</t>
  </si>
  <si>
    <t>פברואר</t>
  </si>
  <si>
    <t>Peb</t>
  </si>
  <si>
    <t>2월</t>
  </si>
  <si>
    <t>Фев</t>
  </si>
  <si>
    <t>Fra</t>
  </si>
  <si>
    <t>فوریه</t>
  </si>
  <si>
    <t>Lut</t>
  </si>
  <si>
    <t>กุมภาพันธ์</t>
  </si>
  <si>
    <t>Şub</t>
  </si>
  <si>
    <t>Tháng 2</t>
  </si>
  <si>
    <t>Лют</t>
  </si>
  <si>
    <t>فروری</t>
  </si>
  <si>
    <t>آذار</t>
  </si>
  <si>
    <t>Մարտ</t>
  </si>
  <si>
    <t>Март</t>
  </si>
  <si>
    <t>三月</t>
  </si>
  <si>
    <t>Ožu</t>
  </si>
  <si>
    <t>Mrt</t>
  </si>
  <si>
    <t>Mars</t>
  </si>
  <si>
    <t>მარ</t>
  </si>
  <si>
    <t>Mrz</t>
  </si>
  <si>
    <t>Μαρ</t>
  </si>
  <si>
    <t>מרץ</t>
  </si>
  <si>
    <t>Már</t>
  </si>
  <si>
    <t>3월</t>
  </si>
  <si>
    <t>Kov</t>
  </si>
  <si>
    <t>Мар</t>
  </si>
  <si>
    <t>مارس</t>
  </si>
  <si>
    <t>mar</t>
  </si>
  <si>
    <t>มีนาคม</t>
  </si>
  <si>
    <t>Tháng 3</t>
  </si>
  <si>
    <t>Бер</t>
  </si>
  <si>
    <t>مارچ</t>
  </si>
  <si>
    <t>Apr</t>
  </si>
  <si>
    <t>Pri</t>
  </si>
  <si>
    <t>نيسان</t>
  </si>
  <si>
    <t>Ապրիլ</t>
  </si>
  <si>
    <t>Април</t>
  </si>
  <si>
    <t>Abr</t>
  </si>
  <si>
    <t>四月</t>
  </si>
  <si>
    <t>Tra</t>
  </si>
  <si>
    <t>Avr</t>
  </si>
  <si>
    <t>აპრ</t>
  </si>
  <si>
    <t>Απρ</t>
  </si>
  <si>
    <t>אפריל</t>
  </si>
  <si>
    <t>Ápr</t>
  </si>
  <si>
    <t>4월</t>
  </si>
  <si>
    <t>Bal</t>
  </si>
  <si>
    <t>Апр</t>
  </si>
  <si>
    <t>آوریل</t>
  </si>
  <si>
    <t>Kwi</t>
  </si>
  <si>
    <t>apr</t>
  </si>
  <si>
    <t>เมษายน</t>
  </si>
  <si>
    <t>Nis</t>
  </si>
  <si>
    <t>Tháng 4</t>
  </si>
  <si>
    <t>Квіт</t>
  </si>
  <si>
    <t>اپریل</t>
  </si>
  <si>
    <t>May</t>
  </si>
  <si>
    <t>Maj</t>
  </si>
  <si>
    <t>أياد</t>
  </si>
  <si>
    <t>Մայիս</t>
  </si>
  <si>
    <t>Май</t>
  </si>
  <si>
    <t>Mai</t>
  </si>
  <si>
    <t>五月</t>
  </si>
  <si>
    <t>Svi</t>
  </si>
  <si>
    <t>Mei</t>
  </si>
  <si>
    <t>მაი</t>
  </si>
  <si>
    <t>Μαϊ</t>
  </si>
  <si>
    <t>מאי</t>
  </si>
  <si>
    <t>Máj</t>
  </si>
  <si>
    <t>Maí</t>
  </si>
  <si>
    <t>Mag</t>
  </si>
  <si>
    <t>5월</t>
  </si>
  <si>
    <t>Geg</t>
  </si>
  <si>
    <t>Мај</t>
  </si>
  <si>
    <t>Mej</t>
  </si>
  <si>
    <t>می</t>
  </si>
  <si>
    <t>maj</t>
  </si>
  <si>
    <t>พฤษภาคม</t>
  </si>
  <si>
    <t>Tháng 5</t>
  </si>
  <si>
    <t>Трав</t>
  </si>
  <si>
    <t>مئی</t>
  </si>
  <si>
    <t>Jun</t>
  </si>
  <si>
    <t>Qer</t>
  </si>
  <si>
    <t>حزيران</t>
  </si>
  <si>
    <t>Հունիս</t>
  </si>
  <si>
    <t>İyn</t>
  </si>
  <si>
    <t>Юни</t>
  </si>
  <si>
    <t>六月</t>
  </si>
  <si>
    <t>Lip</t>
  </si>
  <si>
    <t>Čer</t>
  </si>
  <si>
    <t>Juin</t>
  </si>
  <si>
    <t>ივნ</t>
  </si>
  <si>
    <t>Ιουν</t>
  </si>
  <si>
    <t>יוני</t>
  </si>
  <si>
    <t>Jún</t>
  </si>
  <si>
    <t>Giu</t>
  </si>
  <si>
    <t>6월</t>
  </si>
  <si>
    <t>Birž</t>
  </si>
  <si>
    <t>Јун</t>
  </si>
  <si>
    <t>Ġun</t>
  </si>
  <si>
    <t>ژوئن</t>
  </si>
  <si>
    <t>Cze</t>
  </si>
  <si>
    <t>Iun</t>
  </si>
  <si>
    <t>Июн</t>
  </si>
  <si>
    <t>jun</t>
  </si>
  <si>
    <t>มิถุนายน</t>
  </si>
  <si>
    <t>Haz</t>
  </si>
  <si>
    <t>Tháng 6</t>
  </si>
  <si>
    <t>Черв</t>
  </si>
  <si>
    <t>جون</t>
  </si>
  <si>
    <t>Jul</t>
  </si>
  <si>
    <t>Kor</t>
  </si>
  <si>
    <t>تموز</t>
  </si>
  <si>
    <t>Հուլիս</t>
  </si>
  <si>
    <t>İyl</t>
  </si>
  <si>
    <t>Юли</t>
  </si>
  <si>
    <t>七月</t>
  </si>
  <si>
    <t>Srp</t>
  </si>
  <si>
    <t>Čec</t>
  </si>
  <si>
    <t>Juil</t>
  </si>
  <si>
    <t>ივლ</t>
  </si>
  <si>
    <t>Ιουλ</t>
  </si>
  <si>
    <t>יולי</t>
  </si>
  <si>
    <t>Júl</t>
  </si>
  <si>
    <t>Lug</t>
  </si>
  <si>
    <t>7월</t>
  </si>
  <si>
    <t>Lie</t>
  </si>
  <si>
    <t>Јул</t>
  </si>
  <si>
    <t>Lul</t>
  </si>
  <si>
    <t>ژولای</t>
  </si>
  <si>
    <t>Iul</t>
  </si>
  <si>
    <t>Июл</t>
  </si>
  <si>
    <t>jul</t>
  </si>
  <si>
    <t>กรกฎาคม</t>
  </si>
  <si>
    <t>Tem</t>
  </si>
  <si>
    <t>Tháng 7</t>
  </si>
  <si>
    <t>Лип</t>
  </si>
  <si>
    <t>جولائی</t>
  </si>
  <si>
    <t>Aug</t>
  </si>
  <si>
    <t>Gus</t>
  </si>
  <si>
    <t>آب</t>
  </si>
  <si>
    <t>Օգոս.</t>
  </si>
  <si>
    <t>Avq</t>
  </si>
  <si>
    <t>Август</t>
  </si>
  <si>
    <t>Ago</t>
  </si>
  <si>
    <t>八月</t>
  </si>
  <si>
    <t>Kol</t>
  </si>
  <si>
    <t>Août</t>
  </si>
  <si>
    <t>აგვ</t>
  </si>
  <si>
    <t>Αυγ</t>
  </si>
  <si>
    <t>אוגוסט</t>
  </si>
  <si>
    <t>Agu</t>
  </si>
  <si>
    <t>Ágú</t>
  </si>
  <si>
    <t>8월</t>
  </si>
  <si>
    <t>Rugp</t>
  </si>
  <si>
    <t>Авг</t>
  </si>
  <si>
    <t>Aww</t>
  </si>
  <si>
    <t>اگوست</t>
  </si>
  <si>
    <t>Się</t>
  </si>
  <si>
    <t>Avg</t>
  </si>
  <si>
    <t>สิงหาคม</t>
  </si>
  <si>
    <t>Ağu</t>
  </si>
  <si>
    <t>Tháng 8</t>
  </si>
  <si>
    <t>Серп</t>
  </si>
  <si>
    <t>اگست</t>
  </si>
  <si>
    <t>Sep</t>
  </si>
  <si>
    <t>Shta</t>
  </si>
  <si>
    <t>أيلول</t>
  </si>
  <si>
    <t>Սեպտ.</t>
  </si>
  <si>
    <t>Септември</t>
  </si>
  <si>
    <t>Set</t>
  </si>
  <si>
    <t>九月</t>
  </si>
  <si>
    <t>Ruj</t>
  </si>
  <si>
    <t>Sept</t>
  </si>
  <si>
    <t>სექ</t>
  </si>
  <si>
    <t>Σεπ</t>
  </si>
  <si>
    <t>ספטמבר</t>
  </si>
  <si>
    <t>Szep</t>
  </si>
  <si>
    <t>9월</t>
  </si>
  <si>
    <t>Rugs</t>
  </si>
  <si>
    <t>Сеп</t>
  </si>
  <si>
    <t>سپتامبر</t>
  </si>
  <si>
    <t>Wrz</t>
  </si>
  <si>
    <t>Сен</t>
  </si>
  <si>
    <t>sep</t>
  </si>
  <si>
    <t>กันยายน</t>
  </si>
  <si>
    <t>Eyl</t>
  </si>
  <si>
    <t>Tháng 9</t>
  </si>
  <si>
    <t>Вер</t>
  </si>
  <si>
    <t>ستمبر</t>
  </si>
  <si>
    <t>Oct</t>
  </si>
  <si>
    <t>Tet</t>
  </si>
  <si>
    <t>تشرين أول</t>
  </si>
  <si>
    <t>Հոկտ.</t>
  </si>
  <si>
    <t>Okt</t>
  </si>
  <si>
    <t>Октомври</t>
  </si>
  <si>
    <t>十月</t>
  </si>
  <si>
    <t>Lis</t>
  </si>
  <si>
    <t>ოქტ</t>
  </si>
  <si>
    <t>Οκτ</t>
  </si>
  <si>
    <t>אוקטובר</t>
  </si>
  <si>
    <t>Ott</t>
  </si>
  <si>
    <t>10월</t>
  </si>
  <si>
    <t>Spa</t>
  </si>
  <si>
    <t>Окт</t>
  </si>
  <si>
    <t>اکتبر</t>
  </si>
  <si>
    <t>Paź</t>
  </si>
  <si>
    <t>Out</t>
  </si>
  <si>
    <t>okt</t>
  </si>
  <si>
    <t>ตุลาคม</t>
  </si>
  <si>
    <t>Eki</t>
  </si>
  <si>
    <t>Tháng 10</t>
  </si>
  <si>
    <t>Жовт</t>
  </si>
  <si>
    <t>اکتوبر</t>
  </si>
  <si>
    <t>Nov</t>
  </si>
  <si>
    <t>Nën</t>
  </si>
  <si>
    <t>تشرين ثاني</t>
  </si>
  <si>
    <t>Նոյեմ.</t>
  </si>
  <si>
    <t>Noy</t>
  </si>
  <si>
    <t>Ноември</t>
  </si>
  <si>
    <t>十一月</t>
  </si>
  <si>
    <t>Stu</t>
  </si>
  <si>
    <t>ნოე</t>
  </si>
  <si>
    <t>Νοε</t>
  </si>
  <si>
    <t>נובמבר</t>
  </si>
  <si>
    <t>Nop</t>
  </si>
  <si>
    <t>Nóv</t>
  </si>
  <si>
    <t>11월</t>
  </si>
  <si>
    <t>Lapk</t>
  </si>
  <si>
    <t>Ное</t>
  </si>
  <si>
    <t>نوامبر</t>
  </si>
  <si>
    <t>Noi</t>
  </si>
  <si>
    <t>Ноя</t>
  </si>
  <si>
    <t>nov</t>
  </si>
  <si>
    <t>พฤศจิกายน</t>
  </si>
  <si>
    <t>Kas</t>
  </si>
  <si>
    <t>Tháng 11</t>
  </si>
  <si>
    <t>Лист</t>
  </si>
  <si>
    <t>نومبر</t>
  </si>
  <si>
    <t>Dec</t>
  </si>
  <si>
    <t>Dhj</t>
  </si>
  <si>
    <t>كانون أول</t>
  </si>
  <si>
    <t>Դեկտ.</t>
  </si>
  <si>
    <t>Dek</t>
  </si>
  <si>
    <t>Декември</t>
  </si>
  <si>
    <t>Des</t>
  </si>
  <si>
    <t>十二月</t>
  </si>
  <si>
    <t>Pro</t>
  </si>
  <si>
    <t>Déc</t>
  </si>
  <si>
    <t>დეკ</t>
  </si>
  <si>
    <t>Dez</t>
  </si>
  <si>
    <t>Δεκ</t>
  </si>
  <si>
    <t>דצמבר</t>
  </si>
  <si>
    <t>Dic</t>
  </si>
  <si>
    <t>12월</t>
  </si>
  <si>
    <t>Gruo</t>
  </si>
  <si>
    <t>Дек</t>
  </si>
  <si>
    <t>Deċ</t>
  </si>
  <si>
    <t>دسامبر</t>
  </si>
  <si>
    <t>Gru</t>
  </si>
  <si>
    <t>dec</t>
  </si>
  <si>
    <t>ธันวาคม</t>
  </si>
  <si>
    <t>Ara</t>
  </si>
  <si>
    <t>Tháng 12</t>
  </si>
  <si>
    <t>Груд</t>
  </si>
  <si>
    <t>دسمبر</t>
  </si>
  <si>
    <t>Team</t>
  </si>
  <si>
    <t>Ekipi</t>
  </si>
  <si>
    <t>المنتخب</t>
  </si>
  <si>
    <t>Հավաքական</t>
  </si>
  <si>
    <t>Komanda</t>
  </si>
  <si>
    <t>Отбор</t>
  </si>
  <si>
    <t>Equip</t>
  </si>
  <si>
    <t>球队</t>
  </si>
  <si>
    <t>隊伍</t>
  </si>
  <si>
    <t>Hold</t>
  </si>
  <si>
    <t>Équipe</t>
  </si>
  <si>
    <t>ნაკრები</t>
  </si>
  <si>
    <t>Ομάδα</t>
  </si>
  <si>
    <t>קבוצה</t>
  </si>
  <si>
    <t>Csapat</t>
  </si>
  <si>
    <t>Tim</t>
  </si>
  <si>
    <t>Lið</t>
  </si>
  <si>
    <t>Squadra</t>
  </si>
  <si>
    <t>팀</t>
  </si>
  <si>
    <t>Тим</t>
  </si>
  <si>
    <t>Lag</t>
  </si>
  <si>
    <t>تیم</t>
  </si>
  <si>
    <t>Drużyna</t>
  </si>
  <si>
    <t>Equipa</t>
  </si>
  <si>
    <t>Echipa</t>
  </si>
  <si>
    <t>Команда</t>
  </si>
  <si>
    <t>Reprezentacija</t>
  </si>
  <si>
    <t>Mužstvo</t>
  </si>
  <si>
    <t>Moštvo</t>
  </si>
  <si>
    <t>Equipo</t>
  </si>
  <si>
    <t>ทึม</t>
  </si>
  <si>
    <t>Takım</t>
  </si>
  <si>
    <t>Đội</t>
  </si>
  <si>
    <t>ٹیم</t>
  </si>
  <si>
    <t>Жамоа</t>
  </si>
  <si>
    <t>Croatia</t>
  </si>
  <si>
    <t>Kroacia</t>
  </si>
  <si>
    <t>كرواتيا</t>
  </si>
  <si>
    <t>Խորվաթիա</t>
  </si>
  <si>
    <t>Xorvatiya</t>
  </si>
  <si>
    <t>Хърватия</t>
  </si>
  <si>
    <t>Croàcia</t>
  </si>
  <si>
    <t>克罗地亚</t>
  </si>
  <si>
    <t>克羅地亞</t>
  </si>
  <si>
    <t>Hrvatska</t>
  </si>
  <si>
    <t>Chorvatsko</t>
  </si>
  <si>
    <t>Kroatien</t>
  </si>
  <si>
    <t>Kroatië</t>
  </si>
  <si>
    <t>Croatie</t>
  </si>
  <si>
    <t>ხორვატია</t>
  </si>
  <si>
    <t>Κροατία</t>
  </si>
  <si>
    <t>קרואטיה</t>
  </si>
  <si>
    <t>Horvátország</t>
  </si>
  <si>
    <t>Kroasia</t>
  </si>
  <si>
    <t>Croazia</t>
  </si>
  <si>
    <t>크로아티아</t>
  </si>
  <si>
    <t>Kroatija</t>
  </si>
  <si>
    <t>Kroazja</t>
  </si>
  <si>
    <t>Kroatia</t>
  </si>
  <si>
    <t>کرواسی</t>
  </si>
  <si>
    <t>Chorwacja</t>
  </si>
  <si>
    <t>Croácia</t>
  </si>
  <si>
    <t>Croația</t>
  </si>
  <si>
    <t>Хорватия</t>
  </si>
  <si>
    <t>Хрватска</t>
  </si>
  <si>
    <t>Hrvaška</t>
  </si>
  <si>
    <t>Croacia</t>
  </si>
  <si>
    <t>โครเอเชีย</t>
  </si>
  <si>
    <t>Hırvatistan</t>
  </si>
  <si>
    <t>Хорватія</t>
  </si>
  <si>
    <t>کروشیا</t>
  </si>
  <si>
    <t>Mexico</t>
  </si>
  <si>
    <t>Meksikë</t>
  </si>
  <si>
    <t>المكسيك</t>
  </si>
  <si>
    <t>Մեքսիկա</t>
  </si>
  <si>
    <t>Meksika</t>
  </si>
  <si>
    <t>Мексико</t>
  </si>
  <si>
    <t>Mèxic</t>
  </si>
  <si>
    <t>墨西哥</t>
  </si>
  <si>
    <t>Meksiko</t>
  </si>
  <si>
    <t>Mexiko</t>
  </si>
  <si>
    <t>Mexique</t>
  </si>
  <si>
    <t>Μεξικό</t>
  </si>
  <si>
    <t>מקסיקו</t>
  </si>
  <si>
    <t>Mexikó</t>
  </si>
  <si>
    <t>mexico</t>
  </si>
  <si>
    <t>Messico</t>
  </si>
  <si>
    <t>멕시코</t>
  </si>
  <si>
    <t>Messiku</t>
  </si>
  <si>
    <t>مکزیک</t>
  </si>
  <si>
    <t>Meksyk</t>
  </si>
  <si>
    <t>México</t>
  </si>
  <si>
    <t>Mexic</t>
  </si>
  <si>
    <t>Мексика</t>
  </si>
  <si>
    <t>ประเทศเม็กซิโก</t>
  </si>
  <si>
    <t>میکسیکو</t>
  </si>
  <si>
    <t>Uruguay</t>
  </si>
  <si>
    <t>أوروغواي</t>
  </si>
  <si>
    <t>Ուրուգվայ</t>
  </si>
  <si>
    <t>Uruqvay</t>
  </si>
  <si>
    <t>Уругвай</t>
  </si>
  <si>
    <t>Uruguai</t>
  </si>
  <si>
    <t>乌拉圭</t>
  </si>
  <si>
    <t>烏拉圭</t>
  </si>
  <si>
    <t>Urugvaj</t>
  </si>
  <si>
    <t>ურუგვაის</t>
  </si>
  <si>
    <t>Ουρουγουάη</t>
  </si>
  <si>
    <t>אורוגוואי</t>
  </si>
  <si>
    <t>우루과이</t>
  </si>
  <si>
    <t>Urugvajus</t>
  </si>
  <si>
    <t>Urugwaj</t>
  </si>
  <si>
    <t>اروگوئه</t>
  </si>
  <si>
    <t>Уругвај</t>
  </si>
  <si>
    <t>Uruguaj</t>
  </si>
  <si>
    <t>ประเทศอุรุกวัย</t>
  </si>
  <si>
    <t>یوراگوئے</t>
  </si>
  <si>
    <t>France</t>
  </si>
  <si>
    <t>Francë</t>
  </si>
  <si>
    <t>فرنسا</t>
  </si>
  <si>
    <t>Fransa</t>
  </si>
  <si>
    <t>Франция</t>
  </si>
  <si>
    <t>França</t>
  </si>
  <si>
    <t>法国</t>
  </si>
  <si>
    <t>法國</t>
  </si>
  <si>
    <t>Francuska</t>
  </si>
  <si>
    <t>Francie</t>
  </si>
  <si>
    <t>Frankrig</t>
  </si>
  <si>
    <t>Frankrijk</t>
  </si>
  <si>
    <t>Frankreich</t>
  </si>
  <si>
    <t>Γαλλία</t>
  </si>
  <si>
    <t>צרפת</t>
  </si>
  <si>
    <t>Franciaország</t>
  </si>
  <si>
    <t>Perancis</t>
  </si>
  <si>
    <t>Francia</t>
  </si>
  <si>
    <t>프랑스</t>
  </si>
  <si>
    <t>Prancūzija</t>
  </si>
  <si>
    <t>Франција</t>
  </si>
  <si>
    <t>Franza</t>
  </si>
  <si>
    <t>Frankrike</t>
  </si>
  <si>
    <t>فرانسه</t>
  </si>
  <si>
    <t>Francja</t>
  </si>
  <si>
    <t>Franța</t>
  </si>
  <si>
    <t>Француска</t>
  </si>
  <si>
    <t>ฝรั่งเศส</t>
  </si>
  <si>
    <t>Pháp</t>
  </si>
  <si>
    <t>Франція</t>
  </si>
  <si>
    <t>فرانس</t>
  </si>
  <si>
    <t>Argentina</t>
  </si>
  <si>
    <t>Argjentinë</t>
  </si>
  <si>
    <t>الأرجنتين</t>
  </si>
  <si>
    <t>Արգենտինա</t>
  </si>
  <si>
    <t>Аржентина</t>
  </si>
  <si>
    <t>阿根廷</t>
  </si>
  <si>
    <t>Argentinië</t>
  </si>
  <si>
    <t>Argentine</t>
  </si>
  <si>
    <t>არგენტინის</t>
  </si>
  <si>
    <t>Argentinien</t>
  </si>
  <si>
    <t>Αργεντινή</t>
  </si>
  <si>
    <t>ארגנטינה</t>
  </si>
  <si>
    <t>Argentína</t>
  </si>
  <si>
    <t>아르헨티나</t>
  </si>
  <si>
    <t>Аргентина</t>
  </si>
  <si>
    <t>Arġentina</t>
  </si>
  <si>
    <t>آرژانتین</t>
  </si>
  <si>
    <t>Argentyna</t>
  </si>
  <si>
    <t>อาร์เจนตินา</t>
  </si>
  <si>
    <t>Arjantin</t>
  </si>
  <si>
    <t>ارجنٹینا</t>
  </si>
  <si>
    <t>Nigeria</t>
  </si>
  <si>
    <t>Nigeri</t>
  </si>
  <si>
    <t>نيجيريا</t>
  </si>
  <si>
    <t>Նիգերիա</t>
  </si>
  <si>
    <t>Нигерия</t>
  </si>
  <si>
    <t>Nigèria</t>
  </si>
  <si>
    <t>尼日利亚</t>
  </si>
  <si>
    <t>尼日利亞</t>
  </si>
  <si>
    <t>Nigerija</t>
  </si>
  <si>
    <t>Nigérie</t>
  </si>
  <si>
    <t>ნიგერიის</t>
  </si>
  <si>
    <t>Νιγηρία</t>
  </si>
  <si>
    <t>ניגריה</t>
  </si>
  <si>
    <t>Nigéria</t>
  </si>
  <si>
    <t>Nígería</t>
  </si>
  <si>
    <t>나이지리아</t>
  </si>
  <si>
    <t>Нигерија</t>
  </si>
  <si>
    <t>Niġerja</t>
  </si>
  <si>
    <t>نیجریه</t>
  </si>
  <si>
    <t>ไนจีเรีย</t>
  </si>
  <si>
    <t>Nijerya</t>
  </si>
  <si>
    <t>Нігерія</t>
  </si>
  <si>
    <t>نائیجیریا</t>
  </si>
  <si>
    <t>Korea Republic</t>
  </si>
  <si>
    <t>جمهورية كوريا</t>
  </si>
  <si>
    <t>Կորեայի Հանրապետություն</t>
  </si>
  <si>
    <t>Koreya Respublikası</t>
  </si>
  <si>
    <t>Република Корея</t>
  </si>
  <si>
    <t>República de Corea</t>
  </si>
  <si>
    <t>韩国</t>
  </si>
  <si>
    <t>韓國</t>
  </si>
  <si>
    <t>Južna Koreja</t>
  </si>
  <si>
    <t>Jižní Korea</t>
  </si>
  <si>
    <t>Sydkorea</t>
  </si>
  <si>
    <t>Zuid-Korea</t>
  </si>
  <si>
    <t>République de Corée</t>
  </si>
  <si>
    <t>კორეის რესპუბლიკა</t>
  </si>
  <si>
    <t>Korea Republik</t>
  </si>
  <si>
    <t>Δημοκρατία της Κορέας</t>
  </si>
  <si>
    <t>קוריאה רפובליקה</t>
  </si>
  <si>
    <t>Dél-Korea</t>
  </si>
  <si>
    <t>Republik Korea</t>
  </si>
  <si>
    <t>Kórea</t>
  </si>
  <si>
    <t>Corea del Sud</t>
  </si>
  <si>
    <t>한국</t>
  </si>
  <si>
    <t>Korėjos Respublika</t>
  </si>
  <si>
    <t>Korea Repubblika</t>
  </si>
  <si>
    <t>Sør-Korea</t>
  </si>
  <si>
    <t>کره جنوبی</t>
  </si>
  <si>
    <t>Korea Południowa</t>
  </si>
  <si>
    <t>República da Coréia</t>
  </si>
  <si>
    <t>Coreea de Sud</t>
  </si>
  <si>
    <t>Южная Корея</t>
  </si>
  <si>
    <t>Република Кореја</t>
  </si>
  <si>
    <t>เกาหลีใต้</t>
  </si>
  <si>
    <t>Kore Cumhuriyeti</t>
  </si>
  <si>
    <t>Hàn Quốc</t>
  </si>
  <si>
    <t>Південна Корея</t>
  </si>
  <si>
    <t>جمہوریہ کوریا</t>
  </si>
  <si>
    <t>Жанубий Корея</t>
  </si>
  <si>
    <t>England</t>
  </si>
  <si>
    <t>Angli</t>
  </si>
  <si>
    <t>انجلترا</t>
  </si>
  <si>
    <t>Անգլիա</t>
  </si>
  <si>
    <t>İngiltərə</t>
  </si>
  <si>
    <t>Англия</t>
  </si>
  <si>
    <t>Anglaterra</t>
  </si>
  <si>
    <t>英国</t>
  </si>
  <si>
    <t>英國</t>
  </si>
  <si>
    <t>Engleska</t>
  </si>
  <si>
    <t>Anglie</t>
  </si>
  <si>
    <t>Engeland</t>
  </si>
  <si>
    <t>Angleterre</t>
  </si>
  <si>
    <t>Αγγλία</t>
  </si>
  <si>
    <t>אנגליה</t>
  </si>
  <si>
    <t>Anglia</t>
  </si>
  <si>
    <t>Inggris</t>
  </si>
  <si>
    <t>Inghilterra</t>
  </si>
  <si>
    <t>영국</t>
  </si>
  <si>
    <t>Anglija</t>
  </si>
  <si>
    <t>Англија</t>
  </si>
  <si>
    <t>Ingilterra</t>
  </si>
  <si>
    <t>انگلستان</t>
  </si>
  <si>
    <t>Inglaterra</t>
  </si>
  <si>
    <t>Енглеска</t>
  </si>
  <si>
    <t>Anglicko</t>
  </si>
  <si>
    <t>อังกฤษ</t>
  </si>
  <si>
    <t>İngiltere</t>
  </si>
  <si>
    <t>Anh</t>
  </si>
  <si>
    <t>Англія</t>
  </si>
  <si>
    <t>انگلینڈ</t>
  </si>
  <si>
    <t>Russia</t>
  </si>
  <si>
    <t>Rusi</t>
  </si>
  <si>
    <t>روسيا</t>
  </si>
  <si>
    <t>Ռուսաստան</t>
  </si>
  <si>
    <t>Rusiya</t>
  </si>
  <si>
    <t>Русия</t>
  </si>
  <si>
    <t>Rússia</t>
  </si>
  <si>
    <t>俄国</t>
  </si>
  <si>
    <t>俄國</t>
  </si>
  <si>
    <t>Rusija</t>
  </si>
  <si>
    <t>Rusko</t>
  </si>
  <si>
    <t>Rusland</t>
  </si>
  <si>
    <t>Russie</t>
  </si>
  <si>
    <t>რუსეთის</t>
  </si>
  <si>
    <t>Russland</t>
  </si>
  <si>
    <t>Ρωσία</t>
  </si>
  <si>
    <t>רוסיה</t>
  </si>
  <si>
    <t>Oroszország</t>
  </si>
  <si>
    <t>Rusia</t>
  </si>
  <si>
    <t>러시아</t>
  </si>
  <si>
    <t>Русија</t>
  </si>
  <si>
    <t>Russja</t>
  </si>
  <si>
    <t>روسیه،</t>
  </si>
  <si>
    <t>Rosja</t>
  </si>
  <si>
    <t>Россия</t>
  </si>
  <si>
    <t>Ryssland</t>
  </si>
  <si>
    <t>ประเทศรัสเซีย</t>
  </si>
  <si>
    <t>Rusya</t>
  </si>
  <si>
    <t>Nga</t>
  </si>
  <si>
    <t>Росія</t>
  </si>
  <si>
    <t>روس</t>
  </si>
  <si>
    <t>Germany</t>
  </si>
  <si>
    <t>Gjermani</t>
  </si>
  <si>
    <t>ألمانيا</t>
  </si>
  <si>
    <t>Գերմանիա</t>
  </si>
  <si>
    <t>Almaniya</t>
  </si>
  <si>
    <t>Германия</t>
  </si>
  <si>
    <t>Alemanya</t>
  </si>
  <si>
    <t>德国</t>
  </si>
  <si>
    <t>德國</t>
  </si>
  <si>
    <t>Njemačka</t>
  </si>
  <si>
    <t>Německo</t>
  </si>
  <si>
    <t>Tyskland</t>
  </si>
  <si>
    <t>Duitsland</t>
  </si>
  <si>
    <t>Allemagne</t>
  </si>
  <si>
    <t>Deutschland</t>
  </si>
  <si>
    <t>Γερμανία</t>
  </si>
  <si>
    <t>גרמניה</t>
  </si>
  <si>
    <t>Németország</t>
  </si>
  <si>
    <t>Jerman</t>
  </si>
  <si>
    <t>Þýskaland</t>
  </si>
  <si>
    <t>Germania</t>
  </si>
  <si>
    <t>독일</t>
  </si>
  <si>
    <t>Vokietija</t>
  </si>
  <si>
    <t>Ġermanja</t>
  </si>
  <si>
    <t>آلمان</t>
  </si>
  <si>
    <t>Niemcy</t>
  </si>
  <si>
    <t>Alemanha</t>
  </si>
  <si>
    <t>Немачка</t>
  </si>
  <si>
    <t>Nemčija</t>
  </si>
  <si>
    <t>Alemania</t>
  </si>
  <si>
    <t>ประเทศเยอรมัน</t>
  </si>
  <si>
    <t>Almanya</t>
  </si>
  <si>
    <t>Đức</t>
  </si>
  <si>
    <t>Німеччина</t>
  </si>
  <si>
    <t>جرمنی</t>
  </si>
  <si>
    <t>Australia</t>
  </si>
  <si>
    <t>Australi</t>
  </si>
  <si>
    <t>أستراليا</t>
  </si>
  <si>
    <t>Ավստրալիա</t>
  </si>
  <si>
    <t>Avstraliya</t>
  </si>
  <si>
    <t>Австралия</t>
  </si>
  <si>
    <t>Austràlia</t>
  </si>
  <si>
    <t>澳大利亚</t>
  </si>
  <si>
    <t>澳大利亞</t>
  </si>
  <si>
    <t>Australija</t>
  </si>
  <si>
    <t>Austrálie</t>
  </si>
  <si>
    <t>Australien</t>
  </si>
  <si>
    <t>Australië</t>
  </si>
  <si>
    <t>Australie</t>
  </si>
  <si>
    <t>ავსტრალიაში</t>
  </si>
  <si>
    <t>Αυστραλία</t>
  </si>
  <si>
    <t>אוסטרליה</t>
  </si>
  <si>
    <t>Ausztrália</t>
  </si>
  <si>
    <t>호주</t>
  </si>
  <si>
    <t>Австралија</t>
  </si>
  <si>
    <t>Awstralja</t>
  </si>
  <si>
    <t>استرالیا</t>
  </si>
  <si>
    <t>Austrália</t>
  </si>
  <si>
    <t>Аустралија</t>
  </si>
  <si>
    <t>Avstralija</t>
  </si>
  <si>
    <t>ออสเตรเลีย</t>
  </si>
  <si>
    <t>Avustralya</t>
  </si>
  <si>
    <t>Úc</t>
  </si>
  <si>
    <t>Австралія</t>
  </si>
  <si>
    <t>آسٹریلیا</t>
  </si>
  <si>
    <t>Colombia</t>
  </si>
  <si>
    <t>Kolumbi</t>
  </si>
  <si>
    <t>كولومبيا</t>
  </si>
  <si>
    <t>Կոլումբիա</t>
  </si>
  <si>
    <t>Kolumbiya</t>
  </si>
  <si>
    <t>Колумбия</t>
  </si>
  <si>
    <t>Colòmbia</t>
  </si>
  <si>
    <t>哥伦比亚</t>
  </si>
  <si>
    <t>哥倫比亞</t>
  </si>
  <si>
    <t>Kolumbija</t>
  </si>
  <si>
    <t>Kolumbie</t>
  </si>
  <si>
    <t>Colombie</t>
  </si>
  <si>
    <t>Kolumbien</t>
  </si>
  <si>
    <t>Κολομβία</t>
  </si>
  <si>
    <t>קולומביה</t>
  </si>
  <si>
    <t>Kolumbia</t>
  </si>
  <si>
    <t>콜롬비아</t>
  </si>
  <si>
    <t>Колумбија</t>
  </si>
  <si>
    <t>Kolombja</t>
  </si>
  <si>
    <t>کلمبیا</t>
  </si>
  <si>
    <t>Colômbia</t>
  </si>
  <si>
    <t>Columbia</t>
  </si>
  <si>
    <t>ประเทศโคลอมเบีย</t>
  </si>
  <si>
    <t>Kolombiya</t>
  </si>
  <si>
    <t>Колумбія</t>
  </si>
  <si>
    <t>کولمبیا</t>
  </si>
  <si>
    <t>Costa Rica</t>
  </si>
  <si>
    <t>Kostarikë</t>
  </si>
  <si>
    <t>كوستاريكا</t>
  </si>
  <si>
    <t>Կոստա - Ռիկա</t>
  </si>
  <si>
    <t>哥斯达黎加</t>
  </si>
  <si>
    <t>哥斯達黎加</t>
  </si>
  <si>
    <t>Kostarika</t>
  </si>
  <si>
    <t>კოსტა რიკის</t>
  </si>
  <si>
    <t>Κόστα Ρίκα</t>
  </si>
  <si>
    <t>קוסטה ריקה</t>
  </si>
  <si>
    <t>Kosta Rika</t>
  </si>
  <si>
    <t>Costarica</t>
  </si>
  <si>
    <t>코스타리카</t>
  </si>
  <si>
    <t>Коста Рика</t>
  </si>
  <si>
    <t>کاستاریکا</t>
  </si>
  <si>
    <t>Kostaryka</t>
  </si>
  <si>
    <t>Коста-Рика</t>
  </si>
  <si>
    <t>Костарика</t>
  </si>
  <si>
    <t>COSTA RICA</t>
  </si>
  <si>
    <t>คอสตาริกา</t>
  </si>
  <si>
    <t>Коста -Ріка</t>
  </si>
  <si>
    <t>کوسٹا ریکا</t>
  </si>
  <si>
    <t>Japan</t>
  </si>
  <si>
    <t>Japonia</t>
  </si>
  <si>
    <t>اليابان</t>
  </si>
  <si>
    <t>Ճապոնիա</t>
  </si>
  <si>
    <t>Yaponiya</t>
  </si>
  <si>
    <t>Япония</t>
  </si>
  <si>
    <t>Japó</t>
  </si>
  <si>
    <t>日本</t>
  </si>
  <si>
    <t>Japonsko</t>
  </si>
  <si>
    <t>Japon</t>
  </si>
  <si>
    <t>იაპონია</t>
  </si>
  <si>
    <t>Ιαπωνία</t>
  </si>
  <si>
    <t>יפן</t>
  </si>
  <si>
    <t>Japán</t>
  </si>
  <si>
    <t>Jepang</t>
  </si>
  <si>
    <t>Giappone</t>
  </si>
  <si>
    <t>일본</t>
  </si>
  <si>
    <t>Japonija</t>
  </si>
  <si>
    <t>Јапонија</t>
  </si>
  <si>
    <t>Ġappun</t>
  </si>
  <si>
    <t>ژاپن</t>
  </si>
  <si>
    <t>Japão</t>
  </si>
  <si>
    <t>Japonska</t>
  </si>
  <si>
    <t>Japón</t>
  </si>
  <si>
    <t>ญี่ปุ่น</t>
  </si>
  <si>
    <t>Japonya</t>
  </si>
  <si>
    <t>Nhật Bản</t>
  </si>
  <si>
    <t>Японія</t>
  </si>
  <si>
    <t>جاپان</t>
  </si>
  <si>
    <t>Iran</t>
  </si>
  <si>
    <t>ايران</t>
  </si>
  <si>
    <t>Իրան</t>
  </si>
  <si>
    <t>İran</t>
  </si>
  <si>
    <t>Иран</t>
  </si>
  <si>
    <t>伊朗</t>
  </si>
  <si>
    <t>Írán</t>
  </si>
  <si>
    <t>ირანის</t>
  </si>
  <si>
    <t>Ιράν</t>
  </si>
  <si>
    <t>אירן</t>
  </si>
  <si>
    <t>Irán</t>
  </si>
  <si>
    <t>Íran</t>
  </si>
  <si>
    <t>이란</t>
  </si>
  <si>
    <t>Iranas</t>
  </si>
  <si>
    <t>ایران</t>
  </si>
  <si>
    <t>Irã</t>
  </si>
  <si>
    <t>อิหร่าน</t>
  </si>
  <si>
    <t>Іран</t>
  </si>
  <si>
    <t>Эрон</t>
  </si>
  <si>
    <t>Brazil</t>
  </si>
  <si>
    <t>Brazili</t>
  </si>
  <si>
    <t>البرازيل</t>
  </si>
  <si>
    <t>Բրազիլիա</t>
  </si>
  <si>
    <t>Braziliya</t>
  </si>
  <si>
    <t>Бразилия</t>
  </si>
  <si>
    <t>Brasil</t>
  </si>
  <si>
    <t>巴西</t>
  </si>
  <si>
    <t>Brazílie</t>
  </si>
  <si>
    <t>Brasilien</t>
  </si>
  <si>
    <t>Brazilië</t>
  </si>
  <si>
    <t>Brésil</t>
  </si>
  <si>
    <t>ბრაზილია</t>
  </si>
  <si>
    <t>Βραζιλία</t>
  </si>
  <si>
    <t>ברזיל</t>
  </si>
  <si>
    <t>Brazília</t>
  </si>
  <si>
    <t>Brasilía</t>
  </si>
  <si>
    <t>Brasile</t>
  </si>
  <si>
    <t>브라질</t>
  </si>
  <si>
    <t>Brazilija</t>
  </si>
  <si>
    <t>Бразил</t>
  </si>
  <si>
    <t>Brażil</t>
  </si>
  <si>
    <t>برزیل</t>
  </si>
  <si>
    <t>Brazylia</t>
  </si>
  <si>
    <t>Brazilia</t>
  </si>
  <si>
    <t>บราซิล</t>
  </si>
  <si>
    <t>Brezilya</t>
  </si>
  <si>
    <t>B-ra-xin</t>
  </si>
  <si>
    <t>Бразилія</t>
  </si>
  <si>
    <t>برازیل</t>
  </si>
  <si>
    <t>Belgium</t>
  </si>
  <si>
    <t>Belgjikë</t>
  </si>
  <si>
    <t>بلجيكا</t>
  </si>
  <si>
    <t>Բելգիա</t>
  </si>
  <si>
    <t>Belçika</t>
  </si>
  <si>
    <t>Белгия</t>
  </si>
  <si>
    <t>Bèlgica</t>
  </si>
  <si>
    <t>比利时</t>
  </si>
  <si>
    <t>比利時</t>
  </si>
  <si>
    <t>Belgija</t>
  </si>
  <si>
    <t>Belgie</t>
  </si>
  <si>
    <t>Belgien</t>
  </si>
  <si>
    <t>België</t>
  </si>
  <si>
    <t>Belgique</t>
  </si>
  <si>
    <t>ბელგიის</t>
  </si>
  <si>
    <t>Βέλγιο</t>
  </si>
  <si>
    <t>בלגיה</t>
  </si>
  <si>
    <t>Belgia</t>
  </si>
  <si>
    <t>Belgio</t>
  </si>
  <si>
    <t>벨기에</t>
  </si>
  <si>
    <t>بلژیک</t>
  </si>
  <si>
    <t>Bélgica</t>
  </si>
  <si>
    <t>Бельгия</t>
  </si>
  <si>
    <t>Белгија</t>
  </si>
  <si>
    <t>belgicko</t>
  </si>
  <si>
    <t>เบลเยี่ยม</t>
  </si>
  <si>
    <t>Bỉ</t>
  </si>
  <si>
    <t>Бельгія</t>
  </si>
  <si>
    <t>بیلجئیم</t>
  </si>
  <si>
    <t>Portugal</t>
  </si>
  <si>
    <t>Portugali</t>
  </si>
  <si>
    <t>البرتغال</t>
  </si>
  <si>
    <t>Պորտուգալիա</t>
  </si>
  <si>
    <t>Portuqaliya</t>
  </si>
  <si>
    <t>Португалия</t>
  </si>
  <si>
    <t>葡萄牙</t>
  </si>
  <si>
    <t>Portugalija</t>
  </si>
  <si>
    <t>Portugalsko</t>
  </si>
  <si>
    <t>პორტუგალიის</t>
  </si>
  <si>
    <t>Πορτογαλία</t>
  </si>
  <si>
    <t>פורטוגל</t>
  </si>
  <si>
    <t>Portugália</t>
  </si>
  <si>
    <t>Portogallo</t>
  </si>
  <si>
    <t>포르투갈</t>
  </si>
  <si>
    <t>Португалија</t>
  </si>
  <si>
    <t>Portugall</t>
  </si>
  <si>
    <t>پرتغال</t>
  </si>
  <si>
    <t>Portugalia</t>
  </si>
  <si>
    <t>Portugalska</t>
  </si>
  <si>
    <t>โปรตุเกส</t>
  </si>
  <si>
    <t>Portekiz</t>
  </si>
  <si>
    <t>Bồ Đào Nha</t>
  </si>
  <si>
    <t>Португалія</t>
  </si>
  <si>
    <t>پرتگال</t>
  </si>
  <si>
    <t>Spain</t>
  </si>
  <si>
    <t>Spanjë</t>
  </si>
  <si>
    <t>إسبانيا</t>
  </si>
  <si>
    <t>Իսպանիա</t>
  </si>
  <si>
    <t>İspaniya</t>
  </si>
  <si>
    <t>Испания</t>
  </si>
  <si>
    <t>Espanya</t>
  </si>
  <si>
    <t>西班牙</t>
  </si>
  <si>
    <t>Španjolska</t>
  </si>
  <si>
    <t>Španělsko</t>
  </si>
  <si>
    <t>Spanien</t>
  </si>
  <si>
    <t>Spanje</t>
  </si>
  <si>
    <t>Espagne</t>
  </si>
  <si>
    <t>ესპანეთში</t>
  </si>
  <si>
    <t>Ισπανία</t>
  </si>
  <si>
    <t>ספרד</t>
  </si>
  <si>
    <t>Spanyolország</t>
  </si>
  <si>
    <t>Spanyol</t>
  </si>
  <si>
    <t>spain</t>
  </si>
  <si>
    <t>Spagna</t>
  </si>
  <si>
    <t>스페인</t>
  </si>
  <si>
    <t>Ispanija</t>
  </si>
  <si>
    <t>Шпанија</t>
  </si>
  <si>
    <t>Spanja</t>
  </si>
  <si>
    <t>Spania</t>
  </si>
  <si>
    <t>کشور اسپانیا</t>
  </si>
  <si>
    <t>Hiszpania</t>
  </si>
  <si>
    <t>Espanha</t>
  </si>
  <si>
    <t>španielsko</t>
  </si>
  <si>
    <t>Španija</t>
  </si>
  <si>
    <t>España</t>
  </si>
  <si>
    <t>สเปน</t>
  </si>
  <si>
    <t>İspanya</t>
  </si>
  <si>
    <t>Tây ban nha</t>
  </si>
  <si>
    <t>Іспанія</t>
  </si>
  <si>
    <t>سپین</t>
  </si>
  <si>
    <t>Switzerland</t>
  </si>
  <si>
    <t>Zvicër</t>
  </si>
  <si>
    <t>سويسرا</t>
  </si>
  <si>
    <t>Շվեյցարիա</t>
  </si>
  <si>
    <t>İsveçrə</t>
  </si>
  <si>
    <t>Швейцария</t>
  </si>
  <si>
    <t>Suïssa</t>
  </si>
  <si>
    <t>瑞士</t>
  </si>
  <si>
    <t>Švajcarska</t>
  </si>
  <si>
    <t>Švýcarsko</t>
  </si>
  <si>
    <t>Schweiz</t>
  </si>
  <si>
    <t>Zwitserland</t>
  </si>
  <si>
    <t>Suisse</t>
  </si>
  <si>
    <t>Ελβετία</t>
  </si>
  <si>
    <t>שוויץ</t>
  </si>
  <si>
    <t>Svájc</t>
  </si>
  <si>
    <t>Swiss</t>
  </si>
  <si>
    <t>Sviss</t>
  </si>
  <si>
    <t>Svizzera</t>
  </si>
  <si>
    <t>스위스</t>
  </si>
  <si>
    <t>Šveicarija</t>
  </si>
  <si>
    <t>Швајцарија</t>
  </si>
  <si>
    <t>Isvizzera</t>
  </si>
  <si>
    <t>Sveits</t>
  </si>
  <si>
    <t>سویس</t>
  </si>
  <si>
    <t>Szwajcaria</t>
  </si>
  <si>
    <t>Suíça</t>
  </si>
  <si>
    <t>Elveția</t>
  </si>
  <si>
    <t>Швајцарска</t>
  </si>
  <si>
    <t>švajčiarsko</t>
  </si>
  <si>
    <t>Švica</t>
  </si>
  <si>
    <t>Suiza</t>
  </si>
  <si>
    <t>ประเทศสวิสเซอร์แลนด์</t>
  </si>
  <si>
    <t>İsviçre</t>
  </si>
  <si>
    <t>Thụy Sĩ</t>
  </si>
  <si>
    <t>Швейцарія</t>
  </si>
  <si>
    <t>سوئٹزرلینڈ</t>
  </si>
  <si>
    <t>1A</t>
  </si>
  <si>
    <t>A1</t>
  </si>
  <si>
    <t>A 그룹 1위</t>
  </si>
  <si>
    <t>اول گروه A</t>
  </si>
  <si>
    <t>ที่ 1 สาย A</t>
  </si>
  <si>
    <t>۱الف</t>
  </si>
  <si>
    <t>2A</t>
  </si>
  <si>
    <t>A2</t>
  </si>
  <si>
    <t>A 그룹 2위</t>
  </si>
  <si>
    <t>دوم گروه A</t>
  </si>
  <si>
    <t>ที่ 2 สาย A</t>
  </si>
  <si>
    <t>۲الف</t>
  </si>
  <si>
    <t>1B</t>
  </si>
  <si>
    <t>B1</t>
  </si>
  <si>
    <t>B 그룹 1위</t>
  </si>
  <si>
    <t>اول گروه B</t>
  </si>
  <si>
    <t>ที่ 1 สาย B</t>
  </si>
  <si>
    <t>۱ب</t>
  </si>
  <si>
    <t>2B</t>
  </si>
  <si>
    <t>B2</t>
  </si>
  <si>
    <t>B 그룹 2위</t>
  </si>
  <si>
    <t>دوم گروهB</t>
  </si>
  <si>
    <t>ที่ 2 สาย B</t>
  </si>
  <si>
    <t>۲ب</t>
  </si>
  <si>
    <t>1C</t>
  </si>
  <si>
    <t>C1</t>
  </si>
  <si>
    <t>1Γ</t>
  </si>
  <si>
    <t>C 그룹 1위</t>
  </si>
  <si>
    <t>1Ċ</t>
  </si>
  <si>
    <t>اول گروه C</t>
  </si>
  <si>
    <t>ที่ 1 สาย C</t>
  </si>
  <si>
    <t>۱ج</t>
  </si>
  <si>
    <t>2C</t>
  </si>
  <si>
    <t>C2</t>
  </si>
  <si>
    <t>2Γ</t>
  </si>
  <si>
    <t>C 그룹 2위</t>
  </si>
  <si>
    <t>2Ċ</t>
  </si>
  <si>
    <t>دوم گروه C</t>
  </si>
  <si>
    <t>ที่ 2 สาย C</t>
  </si>
  <si>
    <t>۲ج</t>
  </si>
  <si>
    <t>1D</t>
  </si>
  <si>
    <t>D1</t>
  </si>
  <si>
    <t>1Δ</t>
  </si>
  <si>
    <t>D 그룹 1위</t>
  </si>
  <si>
    <t>اول گروه D</t>
  </si>
  <si>
    <t>ที่ 1 สาย D</t>
  </si>
  <si>
    <t>۱د</t>
  </si>
  <si>
    <t>2D</t>
  </si>
  <si>
    <t>D2</t>
  </si>
  <si>
    <t>2Δ</t>
  </si>
  <si>
    <t>D 그룹 2위</t>
  </si>
  <si>
    <t>دوم گروه D</t>
  </si>
  <si>
    <t>ที่ 2 สาย D</t>
  </si>
  <si>
    <t>۲د</t>
  </si>
  <si>
    <t>1E</t>
  </si>
  <si>
    <t>E1</t>
  </si>
  <si>
    <t>1Ε</t>
  </si>
  <si>
    <t>E 그룹 1위</t>
  </si>
  <si>
    <t>اول گروه E</t>
  </si>
  <si>
    <t>ที่ 1 สาย E</t>
  </si>
  <si>
    <t>۱ھ</t>
  </si>
  <si>
    <t>2E</t>
  </si>
  <si>
    <t>E2</t>
  </si>
  <si>
    <t>2Ε</t>
  </si>
  <si>
    <t>E 그룹 2위</t>
  </si>
  <si>
    <t>دوم گروه E</t>
  </si>
  <si>
    <t>ที่ 2 สาย E</t>
  </si>
  <si>
    <t>۲ھ</t>
  </si>
  <si>
    <t>1F</t>
  </si>
  <si>
    <t>F1</t>
  </si>
  <si>
    <t>1ΣΤ</t>
  </si>
  <si>
    <t>F 그룹 1위</t>
  </si>
  <si>
    <t>اول گروه F</t>
  </si>
  <si>
    <t>ที่ 1 สาย F</t>
  </si>
  <si>
    <t>۱و</t>
  </si>
  <si>
    <t>2F</t>
  </si>
  <si>
    <t>F2</t>
  </si>
  <si>
    <t>2ΣΤ</t>
  </si>
  <si>
    <t>F 그룹 2위</t>
  </si>
  <si>
    <t>دوم گروه F</t>
  </si>
  <si>
    <t>ที่ 2 สาย F</t>
  </si>
  <si>
    <t>۲و</t>
  </si>
  <si>
    <t>1G</t>
  </si>
  <si>
    <t>G1</t>
  </si>
  <si>
    <t>1Ζ</t>
  </si>
  <si>
    <t>G 그룹 1위</t>
  </si>
  <si>
    <t>1Ġ</t>
  </si>
  <si>
    <t>اول گروه G</t>
  </si>
  <si>
    <t>ที่ 1 สาย G</t>
  </si>
  <si>
    <t>۱ز</t>
  </si>
  <si>
    <t>2G</t>
  </si>
  <si>
    <t>G2</t>
  </si>
  <si>
    <t>2Ζ</t>
  </si>
  <si>
    <t>G 그룹 2위</t>
  </si>
  <si>
    <t>2Ġ</t>
  </si>
  <si>
    <t>دوم گروه G</t>
  </si>
  <si>
    <t>ที่ 2 สาย G</t>
  </si>
  <si>
    <t>۲ز</t>
  </si>
  <si>
    <t>1H</t>
  </si>
  <si>
    <t>H1</t>
  </si>
  <si>
    <t>H 그룹 1위</t>
  </si>
  <si>
    <t>1Ħ</t>
  </si>
  <si>
    <t>اول گروه H</t>
  </si>
  <si>
    <t>ที่ 1 สาย H</t>
  </si>
  <si>
    <t>۱ح</t>
  </si>
  <si>
    <t>2H</t>
  </si>
  <si>
    <t>H2</t>
  </si>
  <si>
    <t>H 그룹 2위</t>
  </si>
  <si>
    <t>دوم گروه H</t>
  </si>
  <si>
    <t>ที่ 2 สาย H</t>
  </si>
  <si>
    <t>۲ح</t>
  </si>
  <si>
    <t>W49</t>
  </si>
  <si>
    <t>F49</t>
  </si>
  <si>
    <t>Q49</t>
  </si>
  <si>
    <t>G49</t>
  </si>
  <si>
    <t>49胜者</t>
  </si>
  <si>
    <t>V49</t>
  </si>
  <si>
    <t>მ49</t>
  </si>
  <si>
    <t>Ν49</t>
  </si>
  <si>
    <t>GY49</t>
  </si>
  <si>
    <t>16강전 경기1 승자</t>
  </si>
  <si>
    <t>L49</t>
  </si>
  <si>
    <t>П49</t>
  </si>
  <si>
    <t>R49</t>
  </si>
  <si>
    <t>برنده بازی 49</t>
  </si>
  <si>
    <t>C49</t>
  </si>
  <si>
    <t>P49</t>
  </si>
  <si>
    <t>ผู้ชนะนัดที่ 49</t>
  </si>
  <si>
    <t>T49</t>
  </si>
  <si>
    <t>Переможець 49</t>
  </si>
  <si>
    <t>۴۹ جیت</t>
  </si>
  <si>
    <t>W50</t>
  </si>
  <si>
    <t>F50</t>
  </si>
  <si>
    <t>Q50</t>
  </si>
  <si>
    <t>G50</t>
  </si>
  <si>
    <t>50胜者</t>
  </si>
  <si>
    <t>V50</t>
  </si>
  <si>
    <t>მ50</t>
  </si>
  <si>
    <t>Ν50</t>
  </si>
  <si>
    <t>GY50</t>
  </si>
  <si>
    <t>16강전 경기2 승자</t>
  </si>
  <si>
    <t>L50</t>
  </si>
  <si>
    <t>П50</t>
  </si>
  <si>
    <t>R50</t>
  </si>
  <si>
    <t>برنده بازی 50</t>
  </si>
  <si>
    <t>C50</t>
  </si>
  <si>
    <t>P50</t>
  </si>
  <si>
    <t>ผู้ชนะนัดที่ 50</t>
  </si>
  <si>
    <t>T50</t>
  </si>
  <si>
    <t>Переможець 50</t>
  </si>
  <si>
    <t>۵۰ جیت</t>
  </si>
  <si>
    <t>W51</t>
  </si>
  <si>
    <t>F51</t>
  </si>
  <si>
    <t>Q51</t>
  </si>
  <si>
    <t>G51</t>
  </si>
  <si>
    <t>51胜者</t>
  </si>
  <si>
    <t>V51</t>
  </si>
  <si>
    <t>მ51</t>
  </si>
  <si>
    <t>Ν51</t>
  </si>
  <si>
    <t>GY51</t>
  </si>
  <si>
    <t>16강전 경기3 승자</t>
  </si>
  <si>
    <t>L51</t>
  </si>
  <si>
    <t>П51</t>
  </si>
  <si>
    <t>R51</t>
  </si>
  <si>
    <t>برنده بازی 51</t>
  </si>
  <si>
    <t>C51</t>
  </si>
  <si>
    <t>P51</t>
  </si>
  <si>
    <t>ผู้ชนะนัดที่ 51</t>
  </si>
  <si>
    <t>T51</t>
  </si>
  <si>
    <t>Переможець 51</t>
  </si>
  <si>
    <t>۵۱ جیت</t>
  </si>
  <si>
    <t>W52</t>
  </si>
  <si>
    <t>F52</t>
  </si>
  <si>
    <t>Q52</t>
  </si>
  <si>
    <t>G52</t>
  </si>
  <si>
    <t>52胜者</t>
  </si>
  <si>
    <t>V52</t>
  </si>
  <si>
    <t>მ52</t>
  </si>
  <si>
    <t>Ν52</t>
  </si>
  <si>
    <t>GY52</t>
  </si>
  <si>
    <t>16강전 경기4 승자</t>
  </si>
  <si>
    <t>L52</t>
  </si>
  <si>
    <t>П52</t>
  </si>
  <si>
    <t>R52</t>
  </si>
  <si>
    <t>برنده بازی 52</t>
  </si>
  <si>
    <t>C52</t>
  </si>
  <si>
    <t>P52</t>
  </si>
  <si>
    <t>ผู้ชนะนัดที่ 52</t>
  </si>
  <si>
    <t>T52</t>
  </si>
  <si>
    <t>Переможець 52</t>
  </si>
  <si>
    <t>۵۲ جیت</t>
  </si>
  <si>
    <t>W53</t>
  </si>
  <si>
    <t>F53</t>
  </si>
  <si>
    <t>Q53</t>
  </si>
  <si>
    <t>G53</t>
  </si>
  <si>
    <t>53胜者</t>
  </si>
  <si>
    <t>V53</t>
  </si>
  <si>
    <t>მ53</t>
  </si>
  <si>
    <t>Ν53</t>
  </si>
  <si>
    <t>GY53</t>
  </si>
  <si>
    <t>16강전 경기5 승자</t>
  </si>
  <si>
    <t>L53</t>
  </si>
  <si>
    <t>П53</t>
  </si>
  <si>
    <t>R53</t>
  </si>
  <si>
    <t>برنده بازی 53</t>
  </si>
  <si>
    <t>C53</t>
  </si>
  <si>
    <t>P53</t>
  </si>
  <si>
    <t>ผู้ชนะนัดที่ 53</t>
  </si>
  <si>
    <t>T53</t>
  </si>
  <si>
    <t>Переможець 53</t>
  </si>
  <si>
    <t>۵۳ جیت</t>
  </si>
  <si>
    <t>W54</t>
  </si>
  <si>
    <t>F54</t>
  </si>
  <si>
    <t>Q54</t>
  </si>
  <si>
    <t>G54</t>
  </si>
  <si>
    <t>54胜者</t>
  </si>
  <si>
    <t>V54</t>
  </si>
  <si>
    <t>მ54</t>
  </si>
  <si>
    <t>Ν54</t>
  </si>
  <si>
    <t>GY54</t>
  </si>
  <si>
    <t>16강전 경기6 승자</t>
  </si>
  <si>
    <t>L54</t>
  </si>
  <si>
    <t>П54</t>
  </si>
  <si>
    <t>R54</t>
  </si>
  <si>
    <t>برنده بازی 54</t>
  </si>
  <si>
    <t>C54</t>
  </si>
  <si>
    <t>P54</t>
  </si>
  <si>
    <t>ผู้ชนะนัดที่ 54</t>
  </si>
  <si>
    <t>T54</t>
  </si>
  <si>
    <t>Переможець 54</t>
  </si>
  <si>
    <t>۵۴ جیت</t>
  </si>
  <si>
    <t>W55</t>
  </si>
  <si>
    <t>F55</t>
  </si>
  <si>
    <t>Q55</t>
  </si>
  <si>
    <t>G55</t>
  </si>
  <si>
    <t>55胜者</t>
  </si>
  <si>
    <t>V55</t>
  </si>
  <si>
    <t>მ55</t>
  </si>
  <si>
    <t>Ν55</t>
  </si>
  <si>
    <t>GY55</t>
  </si>
  <si>
    <t>16강전 경기7 승자</t>
  </si>
  <si>
    <t>L55</t>
  </si>
  <si>
    <t>П55</t>
  </si>
  <si>
    <t>R55</t>
  </si>
  <si>
    <t>برنده بازی 55</t>
  </si>
  <si>
    <t>C55</t>
  </si>
  <si>
    <t>P55</t>
  </si>
  <si>
    <t>ผู้ชนะนัดที่ 55</t>
  </si>
  <si>
    <t>T55</t>
  </si>
  <si>
    <t>Переможець 55</t>
  </si>
  <si>
    <t>۵۵ جیت</t>
  </si>
  <si>
    <t>W56</t>
  </si>
  <si>
    <t>F56</t>
  </si>
  <si>
    <t>Q56</t>
  </si>
  <si>
    <t>G56</t>
  </si>
  <si>
    <t>56胜者</t>
  </si>
  <si>
    <t>V56</t>
  </si>
  <si>
    <t>მ56</t>
  </si>
  <si>
    <t>Ν56</t>
  </si>
  <si>
    <t>GY56</t>
  </si>
  <si>
    <t>16강전 경기8 승자</t>
  </si>
  <si>
    <t>L56</t>
  </si>
  <si>
    <t>П56</t>
  </si>
  <si>
    <t>R56</t>
  </si>
  <si>
    <t>برنده بازی 56</t>
  </si>
  <si>
    <t>C56</t>
  </si>
  <si>
    <t>P56</t>
  </si>
  <si>
    <t>ผู้ชนะนัดที่ 56</t>
  </si>
  <si>
    <t>T56</t>
  </si>
  <si>
    <t>Переможець 56</t>
  </si>
  <si>
    <t>۵۶ جیت</t>
  </si>
  <si>
    <t>W57</t>
  </si>
  <si>
    <t>F57</t>
  </si>
  <si>
    <t>Q57</t>
  </si>
  <si>
    <t>G57</t>
  </si>
  <si>
    <t>57胜者</t>
  </si>
  <si>
    <t>V57</t>
  </si>
  <si>
    <t>მ57</t>
  </si>
  <si>
    <t>Ν57</t>
  </si>
  <si>
    <t>GY57</t>
  </si>
  <si>
    <t>8강전 경기1 승자</t>
  </si>
  <si>
    <t>L57</t>
  </si>
  <si>
    <t>П57</t>
  </si>
  <si>
    <t>R57</t>
  </si>
  <si>
    <t>برنده بازی 57</t>
  </si>
  <si>
    <t>C57</t>
  </si>
  <si>
    <t>P57</t>
  </si>
  <si>
    <t>ผู้ชนะนัดที่ 57</t>
  </si>
  <si>
    <t>T57</t>
  </si>
  <si>
    <t>Переможець 57</t>
  </si>
  <si>
    <t>۵۷ جیت</t>
  </si>
  <si>
    <t>W58</t>
  </si>
  <si>
    <t>F58</t>
  </si>
  <si>
    <t>Q58</t>
  </si>
  <si>
    <t>G58</t>
  </si>
  <si>
    <t>58胜者</t>
  </si>
  <si>
    <t>V58</t>
  </si>
  <si>
    <t>მ58</t>
  </si>
  <si>
    <t>Ν58</t>
  </si>
  <si>
    <t>GY58</t>
  </si>
  <si>
    <t>8강전 경기2 승자</t>
  </si>
  <si>
    <t>L58</t>
  </si>
  <si>
    <t>П58</t>
  </si>
  <si>
    <t>R58</t>
  </si>
  <si>
    <t>برنده بازی 58</t>
  </si>
  <si>
    <t>C58</t>
  </si>
  <si>
    <t>P58</t>
  </si>
  <si>
    <t>ผู้ชนะนัดที่ 58</t>
  </si>
  <si>
    <t>T58</t>
  </si>
  <si>
    <t>Переможець 58</t>
  </si>
  <si>
    <t>۵۸ جیت</t>
  </si>
  <si>
    <t>W59</t>
  </si>
  <si>
    <t>F59</t>
  </si>
  <si>
    <t>Q59</t>
  </si>
  <si>
    <t>G59</t>
  </si>
  <si>
    <t>59胜者</t>
  </si>
  <si>
    <t>V59</t>
  </si>
  <si>
    <t>მ59</t>
  </si>
  <si>
    <t>Ν59</t>
  </si>
  <si>
    <t>GY59</t>
  </si>
  <si>
    <t>8강전 경기3 승자</t>
  </si>
  <si>
    <t>L59</t>
  </si>
  <si>
    <t>П59</t>
  </si>
  <si>
    <t>R59</t>
  </si>
  <si>
    <t>برنده بازی 59</t>
  </si>
  <si>
    <t>C59</t>
  </si>
  <si>
    <t>P59</t>
  </si>
  <si>
    <t>ผู้ชนะนัดที่ 59</t>
  </si>
  <si>
    <t>T59</t>
  </si>
  <si>
    <t>Переможець 59</t>
  </si>
  <si>
    <t>۵۹ جیت</t>
  </si>
  <si>
    <t>W60</t>
  </si>
  <si>
    <t>F60</t>
  </si>
  <si>
    <t>Q60</t>
  </si>
  <si>
    <t>G60</t>
  </si>
  <si>
    <t>60胜者</t>
  </si>
  <si>
    <t>V60</t>
  </si>
  <si>
    <t>მ60</t>
  </si>
  <si>
    <t>Ν60</t>
  </si>
  <si>
    <t>GY60</t>
  </si>
  <si>
    <t>8강전 경기4 승자</t>
  </si>
  <si>
    <t>L60</t>
  </si>
  <si>
    <t>П60</t>
  </si>
  <si>
    <t>R60</t>
  </si>
  <si>
    <t>برنده بازی 60</t>
  </si>
  <si>
    <t>C60</t>
  </si>
  <si>
    <t>P60</t>
  </si>
  <si>
    <t>ผู้ชนะนัดที่ 60</t>
  </si>
  <si>
    <t>T60</t>
  </si>
  <si>
    <t>Переможець 60</t>
  </si>
  <si>
    <t>۶۰ جیت</t>
  </si>
  <si>
    <t>W61</t>
  </si>
  <si>
    <t>F61</t>
  </si>
  <si>
    <t>Q61</t>
  </si>
  <si>
    <t>G61</t>
  </si>
  <si>
    <t>61胜者</t>
  </si>
  <si>
    <t>V61</t>
  </si>
  <si>
    <t>მ61</t>
  </si>
  <si>
    <t>Ν61</t>
  </si>
  <si>
    <t>GY61</t>
  </si>
  <si>
    <t>준결승 경기1 승자</t>
  </si>
  <si>
    <t>L61</t>
  </si>
  <si>
    <t>П61</t>
  </si>
  <si>
    <t>R61</t>
  </si>
  <si>
    <t>برنده بازی 61</t>
  </si>
  <si>
    <t>C61</t>
  </si>
  <si>
    <t>P61</t>
  </si>
  <si>
    <t>ผู้ชนะนัดที่ 61</t>
  </si>
  <si>
    <t>T61</t>
  </si>
  <si>
    <t>Переможець 61</t>
  </si>
  <si>
    <t>۶۱ جیت</t>
  </si>
  <si>
    <t>W62</t>
  </si>
  <si>
    <t>F62</t>
  </si>
  <si>
    <t>Q62</t>
  </si>
  <si>
    <t>G62</t>
  </si>
  <si>
    <t>62胜者</t>
  </si>
  <si>
    <t>V62</t>
  </si>
  <si>
    <t>მ62</t>
  </si>
  <si>
    <t>Ν62</t>
  </si>
  <si>
    <t>GY62</t>
  </si>
  <si>
    <t>준결승 경기2 승자</t>
  </si>
  <si>
    <t>L62</t>
  </si>
  <si>
    <t>П62</t>
  </si>
  <si>
    <t>R62</t>
  </si>
  <si>
    <t>برنده بازی 62</t>
  </si>
  <si>
    <t>C62</t>
  </si>
  <si>
    <t>P62</t>
  </si>
  <si>
    <t>ผู้ชนะนัดที่ 62</t>
  </si>
  <si>
    <t>T62</t>
  </si>
  <si>
    <t>Переможець 62</t>
  </si>
  <si>
    <t>۶۲ جیت</t>
  </si>
  <si>
    <t>H61</t>
  </si>
  <si>
    <t>M61</t>
  </si>
  <si>
    <t>61负者</t>
  </si>
  <si>
    <t>წ61</t>
  </si>
  <si>
    <t>Η61</t>
  </si>
  <si>
    <t>준결승 경기1 패자</t>
  </si>
  <si>
    <t>И61</t>
  </si>
  <si>
    <t>بازنده بازی 61</t>
  </si>
  <si>
    <t>I61</t>
  </si>
  <si>
    <t>ผู้แพ้นัดที่ 61</t>
  </si>
  <si>
    <t>B61</t>
  </si>
  <si>
    <t>Переможений 61</t>
  </si>
  <si>
    <t>۶۱ ہار</t>
  </si>
  <si>
    <t>H62</t>
  </si>
  <si>
    <t>M62</t>
  </si>
  <si>
    <t>62负者</t>
  </si>
  <si>
    <t>წ62</t>
  </si>
  <si>
    <t>Η62</t>
  </si>
  <si>
    <t>준결승 경기2 패자</t>
  </si>
  <si>
    <t>И62</t>
  </si>
  <si>
    <t>بازنده بازی 62</t>
  </si>
  <si>
    <t>I62</t>
  </si>
  <si>
    <t>ผู้แพ้นัดที่ 62</t>
  </si>
  <si>
    <t>B62</t>
  </si>
  <si>
    <t>Переможений 62</t>
  </si>
  <si>
    <t>۶۲ ہار</t>
  </si>
  <si>
    <t xml:space="preserve">Kampioni </t>
  </si>
  <si>
    <t>A labdarúgó-VB győztes csapata:</t>
  </si>
  <si>
    <t>ورلڈ چیمپینس</t>
  </si>
  <si>
    <t>en</t>
  </si>
  <si>
    <t>sq</t>
  </si>
  <si>
    <t>ar</t>
  </si>
  <si>
    <t>hy</t>
  </si>
  <si>
    <t>az</t>
  </si>
  <si>
    <t>bg</t>
  </si>
  <si>
    <t>ca</t>
  </si>
  <si>
    <t>zh-CN</t>
  </si>
  <si>
    <t>zh-TW</t>
  </si>
  <si>
    <t>hr</t>
  </si>
  <si>
    <t>cs</t>
  </si>
  <si>
    <t>da</t>
  </si>
  <si>
    <t>nl</t>
  </si>
  <si>
    <t>fr</t>
  </si>
  <si>
    <t>ka</t>
  </si>
  <si>
    <t>de</t>
  </si>
  <si>
    <t>el</t>
  </si>
  <si>
    <t>iw</t>
  </si>
  <si>
    <t>hu</t>
  </si>
  <si>
    <t>id</t>
  </si>
  <si>
    <t>is</t>
  </si>
  <si>
    <t>it</t>
  </si>
  <si>
    <t>ko</t>
  </si>
  <si>
    <t>lt</t>
  </si>
  <si>
    <t>mk</t>
  </si>
  <si>
    <t>mt</t>
  </si>
  <si>
    <t>no</t>
  </si>
  <si>
    <t>fa</t>
  </si>
  <si>
    <t>pl</t>
  </si>
  <si>
    <t>pt</t>
  </si>
  <si>
    <t>ro</t>
  </si>
  <si>
    <t>ru</t>
  </si>
  <si>
    <t>sr</t>
  </si>
  <si>
    <t>sk</t>
  </si>
  <si>
    <t>sl</t>
  </si>
  <si>
    <t>es</t>
  </si>
  <si>
    <t>sv</t>
  </si>
  <si>
    <t>th</t>
  </si>
  <si>
    <t>tr</t>
  </si>
  <si>
    <t>vi</t>
  </si>
  <si>
    <t>uk</t>
  </si>
  <si>
    <t>ur</t>
  </si>
  <si>
    <t>2018 World Cup Final Tournament Schedule</t>
  </si>
  <si>
    <t>Kupa Botërore 2018</t>
  </si>
  <si>
    <t>جدول مباريات كأس العالم 2018</t>
  </si>
  <si>
    <t xml:space="preserve">Աշխարհի 2018թ. առաջնություն </t>
  </si>
  <si>
    <t>2018 - cu il Dünya Çempionatinin Final Mərhələsinin Cədvəli</t>
  </si>
  <si>
    <t>График на срещите - Световно първенство 2018</t>
  </si>
  <si>
    <t>Calendari de la Fase Final de la Copa del Món de futbol 2018</t>
  </si>
  <si>
    <t>巴西2018年世界杯</t>
  </si>
  <si>
    <t>2018 世界盃賽程</t>
  </si>
  <si>
    <t>Svjetsko prvenstvo 2018 raspored utakmica</t>
  </si>
  <si>
    <t>Mistrovství světa ve fotbale 2018</t>
  </si>
  <si>
    <t>2018 Verdensmesterskabs Oversigt</t>
  </si>
  <si>
    <t>Wereldkampioenschap 2018 Toernooischema</t>
  </si>
  <si>
    <t>Coupe du Monde de la FIFA 2018 - Calendrier des matchs</t>
  </si>
  <si>
    <t>მსოფლიო ჩემპიონატი ფეხბურთში - სამხრეთ აფრიკა 2018</t>
  </si>
  <si>
    <t>Spielplan Weltmeisterschafts endrunde 2018</t>
  </si>
  <si>
    <t>Πρόγραμμα Τελικών Παγκοσμίου Κυπέλλου 2018</t>
  </si>
  <si>
    <t>2018 גביע העולם טורניר הגמר תזמן</t>
  </si>
  <si>
    <t>2018 Labdarúgó-világbajnokság döntő sorozata</t>
  </si>
  <si>
    <t>Jadwal Turnamen Final Piala Dunia 2018</t>
  </si>
  <si>
    <t>HM 2018 lokakeppnin</t>
  </si>
  <si>
    <t>Calendario Coppa del mondo 2018</t>
  </si>
  <si>
    <t>2018 월드컵 최종 토너먼트 일정</t>
  </si>
  <si>
    <t>2018 Pasaulio Futbolo Čempionato Tvarkaraštis</t>
  </si>
  <si>
    <t>Skeda tat-Tazza tad-Dinja 2018</t>
  </si>
  <si>
    <t>Verdensmesterskapet i fotball 2018</t>
  </si>
  <si>
    <t>جدول مسابقات فینال جام جهانی 2018</t>
  </si>
  <si>
    <t>Calendário Fase Final Mundial 2018</t>
  </si>
  <si>
    <t>Programul Turneului Final FIFA World Cup 2018</t>
  </si>
  <si>
    <t>Расписание Игр Финальной Стадии Чемпионата Мира по Футболу 2018</t>
  </si>
  <si>
    <t>Svetsko prvenstvo u fudbalu 2018 - Raspored utakmica</t>
  </si>
  <si>
    <t>Majstrovstvá sveta vo futbale 2018</t>
  </si>
  <si>
    <t>Svetovno prvenstvo 2018 razpored tekem</t>
  </si>
  <si>
    <t>Copa Mundial de Fútbol - Brasil 2018</t>
  </si>
  <si>
    <t>Schema för VM-slutspelet 2018</t>
  </si>
  <si>
    <t>ตารางการแข่งขันฟุตบอลโลก 2018</t>
  </si>
  <si>
    <t>2018 Dünya Kupası Finalleri Turnuva Fikstürü</t>
  </si>
  <si>
    <t>Lịch Thi Đấu Cúp Bóng Đá Thế Giới 2018</t>
  </si>
  <si>
    <t>Календар Чемпіонату Світу 2018</t>
  </si>
  <si>
    <t>Футбол бўйича 2018 йил жаҳон чемпионати финал босқичи ўйинлар Жадвали</t>
  </si>
  <si>
    <t>Settings</t>
  </si>
  <si>
    <t>Group Round Sorting</t>
  </si>
  <si>
    <t>Language</t>
  </si>
  <si>
    <t>Step #1</t>
  </si>
  <si>
    <t>Points</t>
  </si>
  <si>
    <t>Summer Time</t>
  </si>
  <si>
    <t>Step #2</t>
  </si>
  <si>
    <t>Goal Difference</t>
  </si>
  <si>
    <t>Step #3</t>
  </si>
  <si>
    <t>Goals Scored</t>
  </si>
  <si>
    <t>GTM-Time</t>
  </si>
  <si>
    <t>GMT</t>
  </si>
  <si>
    <t>Step #4</t>
  </si>
  <si>
    <t>Concerned teams (Pnt, GF-GA, GF)</t>
  </si>
  <si>
    <t>Step #5</t>
  </si>
  <si>
    <t>FIFA Rank</t>
  </si>
  <si>
    <t>Minutes</t>
  </si>
  <si>
    <t>+0 min</t>
  </si>
  <si>
    <t>Language ID</t>
  </si>
  <si>
    <t>GMT Delta</t>
  </si>
  <si>
    <t>GMT - 11:00</t>
  </si>
  <si>
    <t>GMT - 10:00</t>
  </si>
  <si>
    <t>GMT - 9:00</t>
  </si>
  <si>
    <t>GMT - 8:00</t>
  </si>
  <si>
    <t>GMT - 7:00</t>
  </si>
  <si>
    <t>GMT - 6:00</t>
  </si>
  <si>
    <t>GMT - 5:00</t>
  </si>
  <si>
    <t>GMT - 4:00</t>
  </si>
  <si>
    <t>GMT - 3:00</t>
  </si>
  <si>
    <t>GMT - 2:00</t>
  </si>
  <si>
    <t>GMT - 1:00</t>
  </si>
  <si>
    <t>GMT + 1:00</t>
  </si>
  <si>
    <t>GMT + 2:00</t>
  </si>
  <si>
    <t>GMT + 3:00</t>
  </si>
  <si>
    <t>GMT + 4:00</t>
  </si>
  <si>
    <t>GMT + 5:00</t>
  </si>
  <si>
    <t>GMT + 6:00</t>
  </si>
  <si>
    <t>GMT + 7:00</t>
  </si>
  <si>
    <t>GMT + 8:00</t>
  </si>
  <si>
    <t>GMT + 9:00</t>
  </si>
  <si>
    <t>GMT + 10:00</t>
  </si>
  <si>
    <t>GMT + 11:00</t>
  </si>
  <si>
    <t>GMT + 12:00</t>
  </si>
  <si>
    <t>+15 min</t>
  </si>
  <si>
    <t>+30 min</t>
  </si>
  <si>
    <t>+45 min</t>
  </si>
  <si>
    <t>itype</t>
  </si>
  <si>
    <t>Saudi Arabia</t>
  </si>
  <si>
    <t>Egypt</t>
  </si>
  <si>
    <t>Morocco</t>
  </si>
  <si>
    <t>Peru</t>
  </si>
  <si>
    <t>Denmark</t>
  </si>
  <si>
    <t>Iceland</t>
  </si>
  <si>
    <t>Serbia</t>
  </si>
  <si>
    <t>Sweden</t>
  </si>
  <si>
    <t>Panama</t>
  </si>
  <si>
    <t>Tunisia</t>
  </si>
  <si>
    <t>Poland</t>
  </si>
  <si>
    <t>Senegal</t>
  </si>
  <si>
    <t>Rank</t>
  </si>
  <si>
    <t>Home Page: www.excely.com</t>
  </si>
  <si>
    <t>Date + Time + GMT</t>
  </si>
  <si>
    <t>GF</t>
  </si>
  <si>
    <t>GA</t>
  </si>
  <si>
    <t>Place</t>
  </si>
  <si>
    <t>Delta</t>
  </si>
  <si>
    <t>Pnt</t>
  </si>
  <si>
    <t>FIFA</t>
  </si>
  <si>
    <t>F-A</t>
  </si>
  <si>
    <t>No</t>
  </si>
  <si>
    <t>Favorite Team</t>
  </si>
  <si>
    <t>World Champion 2018</t>
  </si>
  <si>
    <t>بطل العالم 2018</t>
  </si>
  <si>
    <t>Աշխարհի 2018թ. Հաղթող</t>
  </si>
  <si>
    <t>Dünya Çempionu 2018</t>
  </si>
  <si>
    <t>Световен шампион 2018</t>
  </si>
  <si>
    <t>Campió del Món 2018</t>
  </si>
  <si>
    <t>2018世界杯冠军</t>
  </si>
  <si>
    <t>Svjetski prvak 2018</t>
  </si>
  <si>
    <t>Mistr světa 2018</t>
  </si>
  <si>
    <t>Verdensmester 2018</t>
  </si>
  <si>
    <t>Wereldkampioen 2018</t>
  </si>
  <si>
    <t>Champion du Monde 2018</t>
  </si>
  <si>
    <t>მსოფლიოს ჩემპიონი 2018</t>
  </si>
  <si>
    <t>Weltmeister 2018</t>
  </si>
  <si>
    <t>Πρωταθλητής 2018</t>
  </si>
  <si>
    <t>גביע העולם 2018</t>
  </si>
  <si>
    <t>Juara Piala Dunia 2018</t>
  </si>
  <si>
    <t>Heimsmeistarar 2018</t>
  </si>
  <si>
    <t>Coppa del Mondo 2018</t>
  </si>
  <si>
    <t>2018년 우승국가</t>
  </si>
  <si>
    <t>Pasaulio Čempionas 2018</t>
  </si>
  <si>
    <t>Светски шампион 2018</t>
  </si>
  <si>
    <t>Rebbieħ tat-Tazza tad-Dinja 2018</t>
  </si>
  <si>
    <t>Vinner 2018</t>
  </si>
  <si>
    <t>قهرمان جام جهانی 2018</t>
  </si>
  <si>
    <t>Mistrz Świata 2018</t>
  </si>
  <si>
    <t>Vencedor do Campeonato do Mundo 2018</t>
  </si>
  <si>
    <t>Campioana Mondiala 2018</t>
  </si>
  <si>
    <t>Чемпион Мира 2018</t>
  </si>
  <si>
    <t>Svjetski šampion 2018</t>
  </si>
  <si>
    <t>Majster sveta 2018</t>
  </si>
  <si>
    <t>Svetovno prvak 2018</t>
  </si>
  <si>
    <t>Campeón 2018</t>
  </si>
  <si>
    <t>Världsmästare 2018</t>
  </si>
  <si>
    <t>แชมป์โลกปี 2018</t>
  </si>
  <si>
    <t>2018 Dünya Şampiyonu</t>
  </si>
  <si>
    <t>Vòng Chung Kết 2018</t>
  </si>
  <si>
    <t>Чемпіон Світу 2018</t>
  </si>
  <si>
    <t>2018 йил Жахон Чемпиони</t>
  </si>
  <si>
    <t>FIFA World Cup
Historical Data
1930 - 2014</t>
  </si>
  <si>
    <t>Poloni</t>
  </si>
  <si>
    <t>بولندا</t>
  </si>
  <si>
    <t>Polşa</t>
  </si>
  <si>
    <t>Полша</t>
  </si>
  <si>
    <t>Polònia</t>
  </si>
  <si>
    <t>波兰</t>
  </si>
  <si>
    <t>波蘭</t>
  </si>
  <si>
    <t>Poljska</t>
  </si>
  <si>
    <t>Polsko</t>
  </si>
  <si>
    <t>Polen</t>
  </si>
  <si>
    <t>Pologne</t>
  </si>
  <si>
    <t>პოლონეთი</t>
  </si>
  <si>
    <t>Πολωνία</t>
  </si>
  <si>
    <t>פּוֹלִין</t>
  </si>
  <si>
    <t>Lengyelország</t>
  </si>
  <si>
    <t>Polandia</t>
  </si>
  <si>
    <t>Polonia</t>
  </si>
  <si>
    <t>폴란드</t>
  </si>
  <si>
    <t>Lenkija</t>
  </si>
  <si>
    <t>Полска</t>
  </si>
  <si>
    <t>Polonja</t>
  </si>
  <si>
    <t>لهستان</t>
  </si>
  <si>
    <t>Polska</t>
  </si>
  <si>
    <t>Polônia</t>
  </si>
  <si>
    <t>Польша</t>
  </si>
  <si>
    <t>Пољска</t>
  </si>
  <si>
    <t>Poľsko</t>
  </si>
  <si>
    <t>polen</t>
  </si>
  <si>
    <t>โปแลนด์</t>
  </si>
  <si>
    <t>Polonya</t>
  </si>
  <si>
    <t>Ba Lan</t>
  </si>
  <si>
    <t>Польща</t>
  </si>
  <si>
    <t>پولینڈ</t>
  </si>
  <si>
    <t>Լեհաստան</t>
  </si>
  <si>
    <t>Ֆրանսիա</t>
  </si>
  <si>
    <t>صربيا</t>
  </si>
  <si>
    <t>Սերբիա</t>
  </si>
  <si>
    <t>Serbiya</t>
  </si>
  <si>
    <t>Сърбия</t>
  </si>
  <si>
    <t>Sèrbia</t>
  </si>
  <si>
    <t>塞尔维亚</t>
  </si>
  <si>
    <t>塞爾維亞</t>
  </si>
  <si>
    <t>Srbija</t>
  </si>
  <si>
    <t>Srbsko</t>
  </si>
  <si>
    <t>Serbien</t>
  </si>
  <si>
    <t>Servië</t>
  </si>
  <si>
    <t>Serbie</t>
  </si>
  <si>
    <t>სერბეთი</t>
  </si>
  <si>
    <t>Σερβία</t>
  </si>
  <si>
    <t>סרביה</t>
  </si>
  <si>
    <t>Szerbia</t>
  </si>
  <si>
    <t>Serbía</t>
  </si>
  <si>
    <t>세르비아</t>
  </si>
  <si>
    <t>Serbija</t>
  </si>
  <si>
    <t>Србија</t>
  </si>
  <si>
    <t>Serbja</t>
  </si>
  <si>
    <t>صربستان</t>
  </si>
  <si>
    <t>Sérvia</t>
  </si>
  <si>
    <t>Сербия</t>
  </si>
  <si>
    <t>เซอร์เบีย</t>
  </si>
  <si>
    <t>Sırbistan</t>
  </si>
  <si>
    <t>Сербія</t>
  </si>
  <si>
    <t>سربیا</t>
  </si>
  <si>
    <t>بيرو</t>
  </si>
  <si>
    <t>Պերու</t>
  </si>
  <si>
    <t>Перу</t>
  </si>
  <si>
    <t>Perú</t>
  </si>
  <si>
    <t>秘鲁</t>
  </si>
  <si>
    <t>秘魯</t>
  </si>
  <si>
    <t>Pérou</t>
  </si>
  <si>
    <t>Περού</t>
  </si>
  <si>
    <t>פרו</t>
  </si>
  <si>
    <t>peru</t>
  </si>
  <si>
    <t>Perù</t>
  </si>
  <si>
    <t>페루</t>
  </si>
  <si>
    <t>پرو</t>
  </si>
  <si>
    <t>เปรู</t>
  </si>
  <si>
    <t>پیرو</t>
  </si>
  <si>
    <t>Nemecko</t>
  </si>
  <si>
    <t>Chorvátsko</t>
  </si>
  <si>
    <t>Francúzsko</t>
  </si>
  <si>
    <t>Južná Kórea</t>
  </si>
  <si>
    <t>მექსიკა</t>
  </si>
  <si>
    <t>საფრანგეთი</t>
  </si>
  <si>
    <t>ინგლისი</t>
  </si>
  <si>
    <t>პერუს</t>
  </si>
  <si>
    <t>გერმანია</t>
  </si>
  <si>
    <t>კოლუმბია</t>
  </si>
  <si>
    <t>Danimarkë</t>
  </si>
  <si>
    <t>الدنمارك</t>
  </si>
  <si>
    <t>Դանիա</t>
  </si>
  <si>
    <t>Danimarka</t>
  </si>
  <si>
    <t>Дания</t>
  </si>
  <si>
    <t>Dinamarca</t>
  </si>
  <si>
    <t>丹麦</t>
  </si>
  <si>
    <t>丹麥</t>
  </si>
  <si>
    <t>Danska</t>
  </si>
  <si>
    <t>Dánsko</t>
  </si>
  <si>
    <t>Danmark</t>
  </si>
  <si>
    <t>Denemarken</t>
  </si>
  <si>
    <t>Danemark</t>
  </si>
  <si>
    <t>დანია</t>
  </si>
  <si>
    <t>Dänemark</t>
  </si>
  <si>
    <t>Δανία</t>
  </si>
  <si>
    <t>דנמרק</t>
  </si>
  <si>
    <t>Dánia</t>
  </si>
  <si>
    <t>Danimarca</t>
  </si>
  <si>
    <t>덴마크</t>
  </si>
  <si>
    <t>Danija</t>
  </si>
  <si>
    <t>Данска</t>
  </si>
  <si>
    <t>دانمارک</t>
  </si>
  <si>
    <t>Dania</t>
  </si>
  <si>
    <t>Danemarca</t>
  </si>
  <si>
    <t>เดนมาร์ก</t>
  </si>
  <si>
    <t>Đan mạch</t>
  </si>
  <si>
    <t>Данія</t>
  </si>
  <si>
    <t>ڈنمارک</t>
  </si>
  <si>
    <t>Suedi</t>
  </si>
  <si>
    <t>السويد</t>
  </si>
  <si>
    <t>Շվեդիա</t>
  </si>
  <si>
    <t>İsveç</t>
  </si>
  <si>
    <t>Швеция</t>
  </si>
  <si>
    <t>Suècia</t>
  </si>
  <si>
    <t>瑞典</t>
  </si>
  <si>
    <t>Švedska</t>
  </si>
  <si>
    <t>Švédsko</t>
  </si>
  <si>
    <t>Sverige</t>
  </si>
  <si>
    <t>Zweden</t>
  </si>
  <si>
    <t>Suède</t>
  </si>
  <si>
    <t>შვედეთი</t>
  </si>
  <si>
    <t>Schweden</t>
  </si>
  <si>
    <t>Σουηδία</t>
  </si>
  <si>
    <t>שוודיה</t>
  </si>
  <si>
    <t>Svédország</t>
  </si>
  <si>
    <t>Swedia</t>
  </si>
  <si>
    <t>Svíþjóð</t>
  </si>
  <si>
    <t>Svezia</t>
  </si>
  <si>
    <t>스웨덴</t>
  </si>
  <si>
    <t>Švedija</t>
  </si>
  <si>
    <t>Шведска</t>
  </si>
  <si>
    <t>سوئد</t>
  </si>
  <si>
    <t>Szwecja</t>
  </si>
  <si>
    <t>Suécia</t>
  </si>
  <si>
    <t>Suedia</t>
  </si>
  <si>
    <t>Suecia</t>
  </si>
  <si>
    <t>สวีเดน</t>
  </si>
  <si>
    <t>Thụy Điển</t>
  </si>
  <si>
    <t>Швеція</t>
  </si>
  <si>
    <t>سویڈن</t>
  </si>
  <si>
    <t>Islandë</t>
  </si>
  <si>
    <t>أيسلندا</t>
  </si>
  <si>
    <t>Իսլանդիա</t>
  </si>
  <si>
    <t>İslandiya</t>
  </si>
  <si>
    <t>Исландия</t>
  </si>
  <si>
    <t>Islàndia</t>
  </si>
  <si>
    <t>冰岛</t>
  </si>
  <si>
    <t>冰島</t>
  </si>
  <si>
    <t>Island</t>
  </si>
  <si>
    <t>IJsland</t>
  </si>
  <si>
    <t>Islande</t>
  </si>
  <si>
    <t>ისლანდია</t>
  </si>
  <si>
    <t>Ισλανδία</t>
  </si>
  <si>
    <t>אִיסלַנד</t>
  </si>
  <si>
    <t>Izland</t>
  </si>
  <si>
    <t>Islandia</t>
  </si>
  <si>
    <t>iceland</t>
  </si>
  <si>
    <t>Islanda</t>
  </si>
  <si>
    <t>아이슬란드</t>
  </si>
  <si>
    <t>Islandija</t>
  </si>
  <si>
    <t>Исланд</t>
  </si>
  <si>
    <t>ایسلند</t>
  </si>
  <si>
    <t>Islândia</t>
  </si>
  <si>
    <t>ประเทศไอซ์แลนด์</t>
  </si>
  <si>
    <t>İzlanda</t>
  </si>
  <si>
    <t>Ісландія</t>
  </si>
  <si>
    <t>آیس لینڈ</t>
  </si>
  <si>
    <t>السنغال</t>
  </si>
  <si>
    <t>Սենեգալ</t>
  </si>
  <si>
    <t>Seneqal</t>
  </si>
  <si>
    <t>Сенегал</t>
  </si>
  <si>
    <t>塞内加尔</t>
  </si>
  <si>
    <t>塞內加爾</t>
  </si>
  <si>
    <t>Sénégal</t>
  </si>
  <si>
    <t>სენეგალი</t>
  </si>
  <si>
    <t>Σενεγάλη</t>
  </si>
  <si>
    <t>סנגל</t>
  </si>
  <si>
    <t>Szenegál</t>
  </si>
  <si>
    <t>senegal</t>
  </si>
  <si>
    <t>세네갈</t>
  </si>
  <si>
    <t>Senegalas</t>
  </si>
  <si>
    <t>سنگال</t>
  </si>
  <si>
    <t>сенегал</t>
  </si>
  <si>
    <t>ประเทศเซเนกัล</t>
  </si>
  <si>
    <t>سنیگال</t>
  </si>
  <si>
    <t>Tunizi</t>
  </si>
  <si>
    <t>تونس</t>
  </si>
  <si>
    <t>Թունիս</t>
  </si>
  <si>
    <t>Tunis</t>
  </si>
  <si>
    <t>Тунис</t>
  </si>
  <si>
    <t>Tunísia</t>
  </si>
  <si>
    <t>突尼斯</t>
  </si>
  <si>
    <t>Tunisko</t>
  </si>
  <si>
    <t>Tunesien</t>
  </si>
  <si>
    <t>Tunesië</t>
  </si>
  <si>
    <t>Tunisie</t>
  </si>
  <si>
    <t>ტუნისში</t>
  </si>
  <si>
    <t>Τυνησία</t>
  </si>
  <si>
    <t>תוניסיה</t>
  </si>
  <si>
    <t>Tunézia</t>
  </si>
  <si>
    <t>Túnis</t>
  </si>
  <si>
    <t>튀니지</t>
  </si>
  <si>
    <t>Tunisas</t>
  </si>
  <si>
    <t>Tuneżija</t>
  </si>
  <si>
    <t>Tunezja</t>
  </si>
  <si>
    <t>Tunizija</t>
  </si>
  <si>
    <t>Túnez</t>
  </si>
  <si>
    <t>ตูนิเซีย</t>
  </si>
  <si>
    <t>Tunus</t>
  </si>
  <si>
    <t>Туніс</t>
  </si>
  <si>
    <t>تیونس</t>
  </si>
  <si>
    <t>Egjipt</t>
  </si>
  <si>
    <t>مصر</t>
  </si>
  <si>
    <t>Եգիպտոս</t>
  </si>
  <si>
    <t>Misir</t>
  </si>
  <si>
    <t>Египет</t>
  </si>
  <si>
    <t>Egipte</t>
  </si>
  <si>
    <t>埃及</t>
  </si>
  <si>
    <t>Egipat</t>
  </si>
  <si>
    <t>Egypten</t>
  </si>
  <si>
    <t>Egypte</t>
  </si>
  <si>
    <t>ეგვიპტეში</t>
  </si>
  <si>
    <t>Ägypten</t>
  </si>
  <si>
    <t>Αίγυπτος</t>
  </si>
  <si>
    <t>מִצְרַיִם</t>
  </si>
  <si>
    <t>Egyiptom</t>
  </si>
  <si>
    <t>Mesir</t>
  </si>
  <si>
    <t>Egyptaland</t>
  </si>
  <si>
    <t>Egitto</t>
  </si>
  <si>
    <t>이집트</t>
  </si>
  <si>
    <t>Egiptas</t>
  </si>
  <si>
    <t>Eġittu</t>
  </si>
  <si>
    <t>Egipt</t>
  </si>
  <si>
    <t>Egito</t>
  </si>
  <si>
    <t>Египат</t>
  </si>
  <si>
    <t>Egipto</t>
  </si>
  <si>
    <t>อียิปต์</t>
  </si>
  <si>
    <t>Mısır</t>
  </si>
  <si>
    <t>Ai Cập</t>
  </si>
  <si>
    <t>Єгипет</t>
  </si>
  <si>
    <t>Tunisien</t>
  </si>
  <si>
    <t>Belġju</t>
  </si>
  <si>
    <t>Isvezja</t>
  </si>
  <si>
    <t>Marok</t>
  </si>
  <si>
    <t>المغرب</t>
  </si>
  <si>
    <t>սեկ</t>
  </si>
  <si>
    <t>Мароко</t>
  </si>
  <si>
    <t>Marroc</t>
  </si>
  <si>
    <t>摩洛哥</t>
  </si>
  <si>
    <t>Maroko</t>
  </si>
  <si>
    <t>Marokko</t>
  </si>
  <si>
    <t>Maroc</t>
  </si>
  <si>
    <t>მაროკო</t>
  </si>
  <si>
    <t>Μαρόκο</t>
  </si>
  <si>
    <t>מָרוֹקוֹ</t>
  </si>
  <si>
    <t>Marokkó</t>
  </si>
  <si>
    <t>Marocco</t>
  </si>
  <si>
    <t>모로코</t>
  </si>
  <si>
    <t>Marokas</t>
  </si>
  <si>
    <t>Marokk</t>
  </si>
  <si>
    <t>مراکش</t>
  </si>
  <si>
    <t>Marrocos</t>
  </si>
  <si>
    <t>Марокко</t>
  </si>
  <si>
    <t>Marruecos</t>
  </si>
  <si>
    <t>Marocko</t>
  </si>
  <si>
    <t>โมร็อกโก</t>
  </si>
  <si>
    <t>Fas</t>
  </si>
  <si>
    <t>Mərakeş</t>
  </si>
  <si>
    <t>بناما</t>
  </si>
  <si>
    <t>պանամա</t>
  </si>
  <si>
    <t>Панама</t>
  </si>
  <si>
    <t>Panamà</t>
  </si>
  <si>
    <t>巴拿马</t>
  </si>
  <si>
    <t>巴拿馬</t>
  </si>
  <si>
    <t>პანამა</t>
  </si>
  <si>
    <t>Παναμάς</t>
  </si>
  <si>
    <t>פנמה</t>
  </si>
  <si>
    <t>파나마</t>
  </si>
  <si>
    <t>پاناما</t>
  </si>
  <si>
    <t>Panamá</t>
  </si>
  <si>
    <t>ปานามา</t>
  </si>
  <si>
    <t>Arabia Saudite</t>
  </si>
  <si>
    <t>المملكة العربية السعودية</t>
  </si>
  <si>
    <t>Սաուդյան Արաբիան</t>
  </si>
  <si>
    <t>Səudiyyə Ərəbistanı</t>
  </si>
  <si>
    <t>Саудитска Арабия</t>
  </si>
  <si>
    <t>Aràbia Saudita</t>
  </si>
  <si>
    <t>沙特阿拉伯</t>
  </si>
  <si>
    <t>Saudijska Arabija</t>
  </si>
  <si>
    <t>Saudská arábie</t>
  </si>
  <si>
    <t>Saudi Arabien</t>
  </si>
  <si>
    <t>Saoedi-Arabië</t>
  </si>
  <si>
    <t>Arabie Saoudite</t>
  </si>
  <si>
    <t>საუდის არაბეთი</t>
  </si>
  <si>
    <t>Σαουδική Αραβία</t>
  </si>
  <si>
    <t>ערב הסעודית</t>
  </si>
  <si>
    <t>Szaud-Arábia</t>
  </si>
  <si>
    <t>Arab Saudi</t>
  </si>
  <si>
    <t>Sádí-Arabía</t>
  </si>
  <si>
    <t>Arabia Saudita</t>
  </si>
  <si>
    <t>사우디 아라비아</t>
  </si>
  <si>
    <t>Saudo Arabija</t>
  </si>
  <si>
    <t>Саудиска Арабија</t>
  </si>
  <si>
    <t>Għarabja Sawdita</t>
  </si>
  <si>
    <t>Saudi-Arabia</t>
  </si>
  <si>
    <t>عربستان سعودی</t>
  </si>
  <si>
    <t>Arabia Saudyjska</t>
  </si>
  <si>
    <t>Arábia Saudita</t>
  </si>
  <si>
    <t>Arabia Saudită</t>
  </si>
  <si>
    <t>Саудовская Аравия</t>
  </si>
  <si>
    <t>Саудијска Арабија</t>
  </si>
  <si>
    <t>Saudská Arábia</t>
  </si>
  <si>
    <t>Savdska Arabija</t>
  </si>
  <si>
    <t>Saudiarabien</t>
  </si>
  <si>
    <t>ซาอุดิอาราเบีย</t>
  </si>
  <si>
    <t>Suudi Arabistan</t>
  </si>
  <si>
    <t>Ả Rập Xê-út</t>
  </si>
  <si>
    <t>Саудівська Аравія</t>
  </si>
  <si>
    <t>سعودی عرب</t>
  </si>
  <si>
    <t>Faroese</t>
  </si>
  <si>
    <t>2018 Heimsmeistarakappingaryvirlit</t>
  </si>
  <si>
    <t>Bólkaspæl</t>
  </si>
  <si>
    <t>Áttandapartsfinala</t>
  </si>
  <si>
    <t>Fjórðingsfinala</t>
  </si>
  <si>
    <t>Hálvfinala</t>
  </si>
  <si>
    <t>Dystur um 3. pláss</t>
  </si>
  <si>
    <t>Finala</t>
  </si>
  <si>
    <t>Bólkur</t>
  </si>
  <si>
    <t>Týs</t>
  </si>
  <si>
    <t>Mik</t>
  </si>
  <si>
    <t>Hós</t>
  </si>
  <si>
    <t>Frí</t>
  </si>
  <si>
    <t>Ley</t>
  </si>
  <si>
    <t>Frankaríki</t>
  </si>
  <si>
    <t>Suðurkorea</t>
  </si>
  <si>
    <t>Týskland</t>
  </si>
  <si>
    <t>Svøríki</t>
  </si>
  <si>
    <t>Ísland</t>
  </si>
  <si>
    <t>Tunesia</t>
  </si>
  <si>
    <t>Brasilia</t>
  </si>
  <si>
    <t>Sveis</t>
  </si>
  <si>
    <t>Heimsmeistari 2018</t>
  </si>
  <si>
    <t>Светско првенство 2018 - Распоред на натпревари</t>
  </si>
  <si>
    <t>Јужна Кореја</t>
  </si>
  <si>
    <t>Германија</t>
  </si>
  <si>
    <t>PÓland</t>
  </si>
  <si>
    <t>2018 Mistrzostwa Świata Terminarz Meczów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</si>
</sst>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h:mm;@"/>
    <numFmt numFmtId="177" formatCode=";;;"/>
  </numFmts>
  <fonts count="20" x14ac:knownFonts="1">
    <font>
      <sz val="11"/>
      <color theme="1"/>
      <name val="맑은 고딕"/>
      <family val="2"/>
      <scheme val="minor"/>
    </font>
    <font>
      <sz val="10"/>
      <name val="Calibri"/>
      <family val="2"/>
      <charset val="204"/>
    </font>
    <font>
      <u/>
      <sz val="11"/>
      <color theme="10"/>
      <name val="맑은 고딕"/>
      <family val="2"/>
      <scheme val="minor"/>
    </font>
    <font>
      <sz val="36"/>
      <name val="Calibri"/>
      <family val="2"/>
      <charset val="204"/>
    </font>
    <font>
      <sz val="10"/>
      <color indexed="12"/>
      <name val="Calibri"/>
      <family val="2"/>
      <charset val="204"/>
    </font>
    <font>
      <sz val="14"/>
      <name val="맑은 고딕"/>
      <family val="2"/>
      <charset val="204"/>
      <scheme val="minor"/>
    </font>
    <font>
      <u/>
      <sz val="8"/>
      <color indexed="12"/>
      <name val="Calibri"/>
      <family val="2"/>
      <charset val="204"/>
    </font>
    <font>
      <sz val="16"/>
      <name val="Calibri"/>
      <family val="2"/>
      <charset val="204"/>
    </font>
    <font>
      <b/>
      <sz val="16"/>
      <name val="Calibri"/>
      <family val="2"/>
      <charset val="204"/>
    </font>
    <font>
      <b/>
      <sz val="16"/>
      <color indexed="12"/>
      <name val="Calibri"/>
      <family val="2"/>
      <charset val="204"/>
    </font>
    <font>
      <sz val="11"/>
      <color theme="0"/>
      <name val="맑은 고딕"/>
      <family val="2"/>
      <scheme val="minor"/>
    </font>
    <font>
      <sz val="10"/>
      <color theme="0"/>
      <name val="Calibri"/>
      <family val="2"/>
    </font>
    <font>
      <sz val="16"/>
      <color theme="0"/>
      <name val="맑은 고딕"/>
      <family val="2"/>
      <charset val="204"/>
      <scheme val="minor"/>
    </font>
    <font>
      <b/>
      <sz val="10"/>
      <color theme="0"/>
      <name val="Calibri"/>
      <family val="2"/>
      <charset val="204"/>
    </font>
    <font>
      <sz val="16"/>
      <color theme="0"/>
      <name val="Calibri"/>
      <family val="2"/>
      <charset val="204"/>
    </font>
    <font>
      <sz val="16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2"/>
      <name val="Calibri"/>
      <family val="2"/>
      <charset val="204"/>
    </font>
    <font>
      <sz val="8"/>
      <name val="Calibri"/>
      <family val="2"/>
      <charset val="204"/>
    </font>
    <font>
      <sz val="8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76">
    <border>
      <left/>
      <right/>
      <top/>
      <bottom/>
      <diagonal/>
    </border>
    <border>
      <left style="thin">
        <color theme="3" tint="0.39991454817346722"/>
      </left>
      <right/>
      <top style="thin">
        <color theme="3" tint="0.399914548173467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1454817346722"/>
      </right>
      <top/>
      <bottom style="thin">
        <color theme="3" tint="0.39991454817346722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48"/>
      </left>
      <right/>
      <top style="thin">
        <color theme="3" tint="0.39991454817346722"/>
      </top>
      <bottom style="hair">
        <color indexed="48"/>
      </bottom>
      <diagonal/>
    </border>
    <border>
      <left/>
      <right/>
      <top style="thin">
        <color theme="3" tint="0.39991454817346722"/>
      </top>
      <bottom style="hair">
        <color indexed="48"/>
      </bottom>
      <diagonal/>
    </border>
    <border>
      <left/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indexed="48"/>
      </left>
      <right/>
      <top style="hair">
        <color indexed="48"/>
      </top>
      <bottom style="hair">
        <color indexed="48"/>
      </bottom>
      <diagonal/>
    </border>
    <border>
      <left/>
      <right/>
      <top style="hair">
        <color indexed="48"/>
      </top>
      <bottom style="hair">
        <color indexed="48"/>
      </bottom>
      <diagonal/>
    </border>
    <border>
      <left/>
      <right style="hair">
        <color indexed="48"/>
      </right>
      <top style="hair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hair">
        <color indexed="48"/>
      </bottom>
      <diagonal/>
    </border>
    <border>
      <left/>
      <right/>
      <top/>
      <bottom style="thin">
        <color indexed="48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/>
      <diagonal/>
    </border>
    <border>
      <left style="thin">
        <color indexed="48"/>
      </left>
      <right/>
      <top style="thin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indexed="48"/>
      </top>
      <bottom style="hair">
        <color indexed="48"/>
      </bottom>
      <diagonal/>
    </border>
    <border>
      <left style="thin">
        <color indexed="48"/>
      </left>
      <right style="thin">
        <color indexed="48"/>
      </right>
      <top/>
      <bottom style="thin">
        <color indexed="48"/>
      </bottom>
      <diagonal/>
    </border>
    <border>
      <left style="thin">
        <color indexed="48"/>
      </left>
      <right/>
      <top style="hair">
        <color indexed="48"/>
      </top>
      <bottom style="thin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4506668294322"/>
      </left>
      <right/>
      <top style="thin">
        <color theme="3" tint="0.39991454817346722"/>
      </top>
      <bottom/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/>
      <top style="medium">
        <color indexed="12"/>
      </top>
      <bottom/>
      <diagonal/>
    </border>
    <border>
      <left/>
      <right/>
      <top style="hair">
        <color indexed="48"/>
      </top>
      <bottom style="thin">
        <color indexed="48"/>
      </bottom>
      <diagonal/>
    </border>
    <border>
      <left/>
      <right style="hair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88402966399123"/>
      </right>
      <top style="thin">
        <color theme="3" tint="0.39991454817346722"/>
      </top>
      <bottom/>
      <diagonal/>
    </border>
    <border>
      <left/>
      <right style="thin">
        <color theme="3" tint="0.39988402966399123"/>
      </right>
      <top/>
      <bottom style="thin">
        <color theme="3" tint="0.39991454817346722"/>
      </bottom>
      <diagonal/>
    </border>
    <border>
      <left/>
      <right style="thin">
        <color theme="3" tint="0.39988402966399123"/>
      </right>
      <top/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thin">
        <color indexed="48"/>
      </bottom>
      <diagonal/>
    </border>
    <border>
      <left style="thin">
        <color rgb="FF3366FF"/>
      </left>
      <right/>
      <top style="thin">
        <color rgb="FF3366FF"/>
      </top>
      <bottom style="thin">
        <color rgb="FF3366FF"/>
      </bottom>
      <diagonal/>
    </border>
    <border>
      <left/>
      <right/>
      <top style="thin">
        <color rgb="FF3366FF"/>
      </top>
      <bottom style="thin">
        <color rgb="FF3366FF"/>
      </bottom>
      <diagonal/>
    </border>
    <border>
      <left/>
      <right style="thin">
        <color rgb="FF3366FF"/>
      </right>
      <top style="thin">
        <color rgb="FF3366FF"/>
      </top>
      <bottom style="thin">
        <color rgb="FF3366FF"/>
      </bottom>
      <diagonal/>
    </border>
    <border>
      <left style="thin">
        <color rgb="FF3366FF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thin">
        <color rgb="FF3366FF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thin">
        <color rgb="FF3366FF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6" fillId="7" borderId="59" applyNumberFormat="0" applyFont="0" applyAlignment="0" applyProtection="0"/>
  </cellStyleXfs>
  <cellXfs count="150">
    <xf numFmtId="0" fontId="0" fillId="0" borderId="0" xfId="0"/>
    <xf numFmtId="0" fontId="1" fillId="0" borderId="0" xfId="0" applyFont="1"/>
    <xf numFmtId="0" fontId="1" fillId="0" borderId="0" xfId="0" applyNumberFormat="1" applyFont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176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right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vertical="center" shrinkToFit="1"/>
      <protection hidden="1"/>
    </xf>
    <xf numFmtId="0" fontId="0" fillId="0" borderId="0" xfId="0" applyAlignment="1" applyProtection="1">
      <alignment horizontal="center" vertical="center" shrinkToFit="1"/>
      <protection hidden="1"/>
    </xf>
    <xf numFmtId="0" fontId="0" fillId="0" borderId="0" xfId="0" applyProtection="1">
      <protection hidden="1"/>
    </xf>
    <xf numFmtId="0" fontId="0" fillId="4" borderId="10" xfId="0" applyFill="1" applyBorder="1" applyAlignment="1" applyProtection="1">
      <alignment horizontal="center" vertical="center" shrinkToFit="1"/>
      <protection hidden="1"/>
    </xf>
    <xf numFmtId="0" fontId="1" fillId="4" borderId="11" xfId="0" applyFont="1" applyFill="1" applyBorder="1" applyAlignment="1" applyProtection="1">
      <alignment horizontal="center" vertical="center" shrinkToFit="1"/>
      <protection hidden="1"/>
    </xf>
    <xf numFmtId="0" fontId="0" fillId="4" borderId="11" xfId="0" applyFill="1" applyBorder="1" applyAlignment="1" applyProtection="1">
      <alignment horizontal="center" vertical="center" shrinkToFit="1"/>
      <protection hidden="1"/>
    </xf>
    <xf numFmtId="176" fontId="0" fillId="4" borderId="12" xfId="0" applyNumberFormat="1" applyFill="1" applyBorder="1" applyAlignment="1" applyProtection="1">
      <alignment horizontal="center" vertical="center" shrinkToFit="1"/>
      <protection hidden="1"/>
    </xf>
    <xf numFmtId="0" fontId="1" fillId="5" borderId="14" xfId="0" applyFont="1" applyFill="1" applyBorder="1" applyAlignment="1" applyProtection="1">
      <alignment horizontal="center" vertical="center"/>
      <protection locked="0"/>
    </xf>
    <xf numFmtId="0" fontId="1" fillId="5" borderId="13" xfId="0" applyFont="1" applyFill="1" applyBorder="1" applyAlignment="1" applyProtection="1">
      <alignment horizontal="center" vertical="center"/>
      <protection locked="0"/>
    </xf>
    <xf numFmtId="0" fontId="0" fillId="4" borderId="18" xfId="0" applyFill="1" applyBorder="1" applyAlignment="1" applyProtection="1">
      <alignment horizontal="center" vertical="center" shrinkToFit="1"/>
      <protection hidden="1"/>
    </xf>
    <xf numFmtId="0" fontId="1" fillId="4" borderId="19" xfId="0" applyFont="1" applyFill="1" applyBorder="1" applyAlignment="1" applyProtection="1">
      <alignment horizontal="center" vertical="center" shrinkToFit="1"/>
      <protection hidden="1"/>
    </xf>
    <xf numFmtId="0" fontId="0" fillId="4" borderId="19" xfId="0" applyFill="1" applyBorder="1" applyAlignment="1" applyProtection="1">
      <alignment horizontal="center" vertical="center" shrinkToFit="1"/>
      <protection hidden="1"/>
    </xf>
    <xf numFmtId="176" fontId="0" fillId="4" borderId="20" xfId="0" applyNumberFormat="1" applyFill="1" applyBorder="1" applyAlignment="1" applyProtection="1">
      <alignment horizontal="center" vertical="center" shrinkToFit="1"/>
      <protection hidden="1"/>
    </xf>
    <xf numFmtId="0" fontId="0" fillId="4" borderId="21" xfId="0" applyFill="1" applyBorder="1" applyAlignment="1" applyProtection="1">
      <alignment horizontal="right" vertical="center" indent="3" shrinkToFit="1"/>
      <protection hidden="1"/>
    </xf>
    <xf numFmtId="0" fontId="1" fillId="5" borderId="22" xfId="0" applyFont="1" applyFill="1" applyBorder="1" applyAlignment="1" applyProtection="1">
      <alignment horizontal="center" vertical="center"/>
      <protection locked="0"/>
    </xf>
    <xf numFmtId="0" fontId="1" fillId="5" borderId="21" xfId="0" applyFont="1" applyFill="1" applyBorder="1" applyAlignment="1" applyProtection="1">
      <alignment horizontal="center" vertical="center"/>
      <protection locked="0"/>
    </xf>
    <xf numFmtId="0" fontId="0" fillId="4" borderId="0" xfId="0" applyFill="1" applyAlignment="1" applyProtection="1">
      <alignment vertical="center"/>
      <protection hidden="1"/>
    </xf>
    <xf numFmtId="0" fontId="1" fillId="4" borderId="23" xfId="0" applyFont="1" applyFill="1" applyBorder="1" applyAlignment="1" applyProtection="1">
      <alignment horizontal="right" vertical="center"/>
      <protection hidden="1"/>
    </xf>
    <xf numFmtId="0" fontId="0" fillId="0" borderId="24" xfId="0" applyBorder="1" applyAlignment="1" applyProtection="1">
      <alignment horizontal="center" vertical="center" shrinkToFit="1"/>
      <protection hidden="1"/>
    </xf>
    <xf numFmtId="0" fontId="0" fillId="4" borderId="26" xfId="0" applyFill="1" applyBorder="1" applyAlignment="1" applyProtection="1">
      <alignment horizontal="left" vertical="center" shrinkToFit="1"/>
      <protection hidden="1"/>
    </xf>
    <xf numFmtId="0" fontId="1" fillId="5" borderId="27" xfId="0" applyFont="1" applyFill="1" applyBorder="1" applyAlignment="1" applyProtection="1">
      <alignment horizontal="center" vertical="center"/>
      <protection locked="0"/>
    </xf>
    <xf numFmtId="0" fontId="1" fillId="5" borderId="28" xfId="0" applyFont="1" applyFill="1" applyBorder="1" applyAlignment="1" applyProtection="1">
      <alignment horizontal="center" vertical="center"/>
      <protection locked="0"/>
    </xf>
    <xf numFmtId="0" fontId="0" fillId="4" borderId="30" xfId="0" applyFill="1" applyBorder="1" applyAlignment="1" applyProtection="1">
      <alignment horizontal="left" vertical="center" shrinkToFit="1"/>
      <protection hidden="1"/>
    </xf>
    <xf numFmtId="0" fontId="1" fillId="5" borderId="31" xfId="0" applyFont="1" applyFill="1" applyBorder="1" applyAlignment="1" applyProtection="1">
      <alignment horizontal="center" vertical="center"/>
      <protection locked="0"/>
    </xf>
    <xf numFmtId="0" fontId="1" fillId="5" borderId="32" xfId="0" applyFont="1" applyFill="1" applyBorder="1" applyAlignment="1" applyProtection="1">
      <alignment horizontal="center" vertical="center"/>
      <protection locked="0"/>
    </xf>
    <xf numFmtId="0" fontId="0" fillId="4" borderId="33" xfId="0" applyFill="1" applyBorder="1" applyAlignment="1" applyProtection="1">
      <alignment vertical="center"/>
      <protection hidden="1"/>
    </xf>
    <xf numFmtId="0" fontId="1" fillId="4" borderId="0" xfId="0" applyFont="1" applyFill="1" applyBorder="1" applyAlignment="1" applyProtection="1">
      <alignment horizontal="right" vertical="center"/>
      <protection hidden="1"/>
    </xf>
    <xf numFmtId="0" fontId="0" fillId="4" borderId="34" xfId="0" applyFill="1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 shrinkToFit="1"/>
      <protection hidden="1"/>
    </xf>
    <xf numFmtId="0" fontId="0" fillId="0" borderId="0" xfId="0" applyBorder="1" applyAlignment="1" applyProtection="1">
      <alignment horizontal="center" vertical="center" shrinkToFit="1"/>
      <protection hidden="1"/>
    </xf>
    <xf numFmtId="0" fontId="0" fillId="4" borderId="35" xfId="0" applyFill="1" applyBorder="1" applyAlignment="1" applyProtection="1">
      <alignment vertical="center"/>
      <protection hidden="1"/>
    </xf>
    <xf numFmtId="0" fontId="0" fillId="4" borderId="36" xfId="0" applyFill="1" applyBorder="1" applyAlignment="1" applyProtection="1">
      <alignment vertical="center"/>
      <protection hidden="1"/>
    </xf>
    <xf numFmtId="0" fontId="0" fillId="4" borderId="0" xfId="0" applyFill="1" applyBorder="1" applyAlignment="1" applyProtection="1">
      <alignment vertical="center"/>
      <protection hidden="1"/>
    </xf>
    <xf numFmtId="0" fontId="0" fillId="4" borderId="37" xfId="0" applyFill="1" applyBorder="1" applyAlignment="1" applyProtection="1">
      <alignment vertical="center"/>
      <protection hidden="1"/>
    </xf>
    <xf numFmtId="0" fontId="0" fillId="4" borderId="0" xfId="0" applyFill="1" applyAlignment="1" applyProtection="1">
      <alignment horizontal="right" vertical="center"/>
      <protection hidden="1"/>
    </xf>
    <xf numFmtId="0" fontId="0" fillId="4" borderId="30" xfId="0" applyFill="1" applyBorder="1" applyAlignment="1" applyProtection="1">
      <alignment horizontal="center" vertical="center" shrinkToFit="1"/>
      <protection hidden="1"/>
    </xf>
    <xf numFmtId="0" fontId="1" fillId="4" borderId="39" xfId="0" applyFont="1" applyFill="1" applyBorder="1" applyAlignment="1" applyProtection="1">
      <alignment horizontal="center" vertical="center" shrinkToFit="1"/>
      <protection hidden="1"/>
    </xf>
    <xf numFmtId="0" fontId="0" fillId="4" borderId="39" xfId="0" applyFill="1" applyBorder="1" applyAlignment="1" applyProtection="1">
      <alignment horizontal="center" vertical="center" shrinkToFit="1"/>
      <protection hidden="1"/>
    </xf>
    <xf numFmtId="176" fontId="0" fillId="4" borderId="40" xfId="0" applyNumberFormat="1" applyFill="1" applyBorder="1" applyAlignment="1" applyProtection="1">
      <alignment horizontal="center" vertical="center" shrinkToFit="1"/>
      <protection hidden="1"/>
    </xf>
    <xf numFmtId="0" fontId="0" fillId="4" borderId="32" xfId="0" applyFill="1" applyBorder="1" applyAlignment="1" applyProtection="1">
      <alignment horizontal="right" vertical="center" indent="3" shrinkToFit="1"/>
      <protection hidden="1"/>
    </xf>
    <xf numFmtId="0" fontId="0" fillId="0" borderId="0" xfId="0" applyFill="1" applyBorder="1" applyAlignment="1" applyProtection="1">
      <alignment horizontal="center" vertical="center" shrinkToFit="1"/>
      <protection hidden="1"/>
    </xf>
    <xf numFmtId="0" fontId="1" fillId="0" borderId="0" xfId="0" applyFont="1" applyFill="1" applyBorder="1" applyAlignment="1" applyProtection="1">
      <alignment horizontal="center" vertical="center" shrinkToFit="1"/>
      <protection hidden="1"/>
    </xf>
    <xf numFmtId="176" fontId="0" fillId="0" borderId="0" xfId="0" applyNumberFormat="1" applyFill="1" applyBorder="1" applyAlignment="1" applyProtection="1">
      <alignment horizontal="center" vertical="center" shrinkToFit="1"/>
      <protection hidden="1"/>
    </xf>
    <xf numFmtId="0" fontId="0" fillId="0" borderId="0" xfId="0" applyFill="1" applyBorder="1" applyAlignment="1" applyProtection="1">
      <alignment horizontal="right" vertical="center" indent="3" shrinkToFit="1"/>
      <protection hidden="1"/>
    </xf>
    <xf numFmtId="0" fontId="1" fillId="0" borderId="0" xfId="0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left" vertical="center" indent="3" shrinkToFit="1"/>
      <protection hidden="1"/>
    </xf>
    <xf numFmtId="0" fontId="0" fillId="0" borderId="0" xfId="0" applyFill="1" applyAlignment="1" applyProtection="1">
      <alignment vertical="center"/>
      <protection hidden="1"/>
    </xf>
    <xf numFmtId="0" fontId="0" fillId="0" borderId="0" xfId="0" applyFill="1" applyBorder="1" applyAlignment="1" applyProtection="1">
      <alignment vertical="center" shrinkToFit="1"/>
      <protection hidden="1"/>
    </xf>
    <xf numFmtId="0" fontId="0" fillId="4" borderId="13" xfId="0" applyFont="1" applyFill="1" applyBorder="1" applyAlignment="1" applyProtection="1">
      <alignment horizontal="right" vertical="center" indent="3" shrinkToFit="1"/>
      <protection hidden="1"/>
    </xf>
    <xf numFmtId="177" fontId="11" fillId="0" borderId="0" xfId="0" applyNumberFormat="1" applyFont="1" applyFill="1" applyBorder="1" applyAlignment="1" applyProtection="1">
      <alignment horizontal="center" vertical="center"/>
      <protection hidden="1"/>
    </xf>
    <xf numFmtId="177" fontId="11" fillId="0" borderId="0" xfId="0" applyNumberFormat="1" applyFont="1" applyFill="1" applyBorder="1" applyAlignment="1" applyProtection="1">
      <alignment vertical="center"/>
      <protection hidden="1"/>
    </xf>
    <xf numFmtId="177" fontId="11" fillId="0" borderId="0" xfId="0" applyNumberFormat="1" applyFont="1" applyFill="1" applyAlignment="1" applyProtection="1">
      <alignment vertical="center"/>
      <protection hidden="1"/>
    </xf>
    <xf numFmtId="177" fontId="11" fillId="0" borderId="0" xfId="0" applyNumberFormat="1" applyFont="1" applyFill="1" applyAlignment="1" applyProtection="1">
      <alignment horizontal="center" vertical="center"/>
      <protection hidden="1"/>
    </xf>
    <xf numFmtId="177" fontId="11" fillId="0" borderId="0" xfId="0" applyNumberFormat="1" applyFont="1" applyAlignment="1" applyProtection="1">
      <alignment horizontal="center" vertical="center"/>
      <protection hidden="1"/>
    </xf>
    <xf numFmtId="177" fontId="11" fillId="0" borderId="0" xfId="0" applyNumberFormat="1" applyFont="1" applyAlignment="1" applyProtection="1">
      <alignment vertical="center"/>
      <protection hidden="1"/>
    </xf>
    <xf numFmtId="177" fontId="10" fillId="0" borderId="0" xfId="0" applyNumberFormat="1" applyFont="1" applyAlignment="1" applyProtection="1">
      <alignment vertical="center"/>
      <protection hidden="1"/>
    </xf>
    <xf numFmtId="177" fontId="11" fillId="0" borderId="0" xfId="0" applyNumberFormat="1" applyFont="1" applyFill="1" applyBorder="1" applyAlignment="1" applyProtection="1">
      <alignment horizontal="left" vertical="center"/>
      <protection hidden="1"/>
    </xf>
    <xf numFmtId="0" fontId="0" fillId="4" borderId="43" xfId="0" applyFill="1" applyBorder="1" applyAlignment="1" applyProtection="1">
      <alignment horizontal="left" vertical="center" indent="3" shrinkToFit="1"/>
      <protection hidden="1"/>
    </xf>
    <xf numFmtId="0" fontId="0" fillId="4" borderId="44" xfId="0" applyFill="1" applyBorder="1" applyAlignment="1" applyProtection="1">
      <alignment horizontal="left" vertical="center" indent="3" shrinkToFit="1"/>
      <protection hidden="1"/>
    </xf>
    <xf numFmtId="0" fontId="0" fillId="4" borderId="45" xfId="0" applyFill="1" applyBorder="1" applyAlignment="1" applyProtection="1">
      <alignment horizontal="left" vertical="center" indent="3" shrinkToFit="1"/>
      <protection hidden="1"/>
    </xf>
    <xf numFmtId="0" fontId="0" fillId="0" borderId="49" xfId="0" applyBorder="1" applyAlignment="1" applyProtection="1">
      <alignment vertical="center" shrinkToFit="1"/>
      <protection hidden="1"/>
    </xf>
    <xf numFmtId="0" fontId="0" fillId="0" borderId="50" xfId="0" applyBorder="1" applyAlignment="1" applyProtection="1">
      <alignment horizontal="center" vertical="center" shrinkToFit="1"/>
      <protection hidden="1"/>
    </xf>
    <xf numFmtId="0" fontId="0" fillId="0" borderId="51" xfId="0" applyBorder="1" applyAlignment="1" applyProtection="1">
      <alignment horizontal="center" vertical="center" shrinkToFit="1"/>
      <protection hidden="1"/>
    </xf>
    <xf numFmtId="0" fontId="0" fillId="0" borderId="52" xfId="0" applyBorder="1" applyAlignment="1" applyProtection="1">
      <alignment vertical="center" shrinkToFit="1"/>
      <protection hidden="1"/>
    </xf>
    <xf numFmtId="0" fontId="0" fillId="0" borderId="53" xfId="0" applyBorder="1" applyAlignment="1" applyProtection="1">
      <alignment horizontal="center" vertical="center" shrinkToFit="1"/>
      <protection hidden="1"/>
    </xf>
    <xf numFmtId="0" fontId="0" fillId="0" borderId="54" xfId="0" applyBorder="1" applyAlignment="1" applyProtection="1">
      <alignment vertical="center" shrinkToFit="1"/>
      <protection hidden="1"/>
    </xf>
    <xf numFmtId="0" fontId="0" fillId="0" borderId="55" xfId="0" applyBorder="1" applyAlignment="1" applyProtection="1">
      <alignment horizontal="center" vertical="center" shrinkToFit="1"/>
      <protection hidden="1"/>
    </xf>
    <xf numFmtId="0" fontId="0" fillId="0" borderId="56" xfId="0" applyBorder="1" applyAlignment="1" applyProtection="1">
      <alignment horizontal="center" vertical="center" shrinkToFit="1"/>
      <protection hidden="1"/>
    </xf>
    <xf numFmtId="0" fontId="13" fillId="6" borderId="46" xfId="0" applyFont="1" applyFill="1" applyBorder="1" applyAlignment="1" applyProtection="1">
      <alignment horizontal="center" vertical="center" shrinkToFit="1"/>
      <protection hidden="1"/>
    </xf>
    <xf numFmtId="0" fontId="13" fillId="6" borderId="47" xfId="0" applyFont="1" applyFill="1" applyBorder="1" applyAlignment="1" applyProtection="1">
      <alignment horizontal="center" vertical="center" shrinkToFit="1"/>
      <protection hidden="1"/>
    </xf>
    <xf numFmtId="0" fontId="13" fillId="6" borderId="48" xfId="0" applyFont="1" applyFill="1" applyBorder="1" applyAlignment="1" applyProtection="1">
      <alignment horizontal="center" vertical="center" shrinkToFit="1"/>
      <protection hidden="1"/>
    </xf>
    <xf numFmtId="0" fontId="15" fillId="0" borderId="0" xfId="0" applyFont="1" applyAlignment="1" applyProtection="1">
      <alignment vertical="center"/>
      <protection hidden="1"/>
    </xf>
    <xf numFmtId="0" fontId="0" fillId="0" borderId="0" xfId="0" applyFill="1"/>
    <xf numFmtId="0" fontId="1" fillId="0" borderId="0" xfId="0" applyFont="1" applyFill="1"/>
    <xf numFmtId="0" fontId="17" fillId="8" borderId="60" xfId="0" applyFont="1" applyFill="1" applyBorder="1" applyAlignment="1" applyProtection="1">
      <alignment horizontal="left" indent="1"/>
      <protection hidden="1"/>
    </xf>
    <xf numFmtId="0" fontId="1" fillId="8" borderId="61" xfId="0" applyFont="1" applyFill="1" applyBorder="1" applyAlignment="1" applyProtection="1">
      <alignment horizontal="left"/>
      <protection hidden="1"/>
    </xf>
    <xf numFmtId="0" fontId="1" fillId="8" borderId="62" xfId="0" applyFont="1" applyFill="1" applyBorder="1" applyProtection="1">
      <protection hidden="1"/>
    </xf>
    <xf numFmtId="0" fontId="1" fillId="8" borderId="63" xfId="0" applyFont="1" applyFill="1" applyBorder="1" applyProtection="1">
      <protection hidden="1"/>
    </xf>
    <xf numFmtId="0" fontId="1" fillId="8" borderId="0" xfId="0" applyFont="1" applyFill="1" applyBorder="1" applyAlignment="1" applyProtection="1">
      <alignment horizontal="left"/>
      <protection hidden="1"/>
    </xf>
    <xf numFmtId="0" fontId="1" fillId="8" borderId="64" xfId="0" applyFont="1" applyFill="1" applyBorder="1" applyProtection="1">
      <protection hidden="1"/>
    </xf>
    <xf numFmtId="0" fontId="1" fillId="8" borderId="0" xfId="0" applyFont="1" applyFill="1" applyBorder="1" applyProtection="1">
      <protection hidden="1"/>
    </xf>
    <xf numFmtId="0" fontId="1" fillId="8" borderId="63" xfId="0" applyFont="1" applyFill="1" applyBorder="1" applyAlignment="1" applyProtection="1">
      <alignment horizontal="right"/>
      <protection hidden="1"/>
    </xf>
    <xf numFmtId="0" fontId="1" fillId="9" borderId="65" xfId="0" applyFont="1" applyFill="1" applyBorder="1" applyProtection="1">
      <protection hidden="1"/>
    </xf>
    <xf numFmtId="0" fontId="1" fillId="9" borderId="66" xfId="0" applyFont="1" applyFill="1" applyBorder="1" applyProtection="1">
      <protection hidden="1"/>
    </xf>
    <xf numFmtId="0" fontId="1" fillId="9" borderId="67" xfId="0" applyFont="1" applyFill="1" applyBorder="1" applyProtection="1">
      <protection hidden="1"/>
    </xf>
    <xf numFmtId="0" fontId="1" fillId="8" borderId="68" xfId="0" applyFont="1" applyFill="1" applyBorder="1" applyProtection="1">
      <protection hidden="1"/>
    </xf>
    <xf numFmtId="0" fontId="1" fillId="8" borderId="69" xfId="0" applyFont="1" applyFill="1" applyBorder="1" applyProtection="1">
      <protection hidden="1"/>
    </xf>
    <xf numFmtId="0" fontId="1" fillId="8" borderId="70" xfId="0" applyFont="1" applyFill="1" applyBorder="1" applyAlignment="1" applyProtection="1">
      <alignment horizontal="left"/>
      <protection hidden="1"/>
    </xf>
    <xf numFmtId="0" fontId="1" fillId="8" borderId="71" xfId="0" applyFont="1" applyFill="1" applyBorder="1" applyProtection="1">
      <protection hidden="1"/>
    </xf>
    <xf numFmtId="0" fontId="1" fillId="8" borderId="63" xfId="0" applyFont="1" applyFill="1" applyBorder="1" applyAlignment="1" applyProtection="1">
      <alignment horizontal="right" vertical="center"/>
      <protection hidden="1"/>
    </xf>
    <xf numFmtId="0" fontId="18" fillId="8" borderId="72" xfId="0" applyFont="1" applyFill="1" applyBorder="1" applyAlignment="1" applyProtection="1">
      <alignment horizontal="left" vertical="center"/>
      <protection hidden="1"/>
    </xf>
    <xf numFmtId="0" fontId="18" fillId="8" borderId="68" xfId="0" applyFont="1" applyFill="1" applyBorder="1" applyAlignment="1" applyProtection="1">
      <alignment horizontal="left" vertical="center"/>
      <protection hidden="1"/>
    </xf>
    <xf numFmtId="0" fontId="1" fillId="8" borderId="73" xfId="0" applyFont="1" applyFill="1" applyBorder="1" applyProtection="1">
      <protection hidden="1"/>
    </xf>
    <xf numFmtId="0" fontId="17" fillId="8" borderId="74" xfId="0" applyFont="1" applyFill="1" applyBorder="1" applyAlignment="1" applyProtection="1">
      <alignment horizontal="center"/>
      <protection hidden="1"/>
    </xf>
    <xf numFmtId="0" fontId="1" fillId="8" borderId="63" xfId="0" applyFont="1" applyFill="1" applyBorder="1" applyAlignment="1" applyProtection="1">
      <alignment horizontal="left" indent="1"/>
      <protection hidden="1"/>
    </xf>
    <xf numFmtId="0" fontId="1" fillId="9" borderId="75" xfId="0" applyFont="1" applyFill="1" applyBorder="1" applyAlignment="1" applyProtection="1">
      <alignment horizontal="center"/>
      <protection hidden="1"/>
    </xf>
    <xf numFmtId="0" fontId="1" fillId="9" borderId="66" xfId="0" applyFont="1" applyFill="1" applyBorder="1" applyAlignment="1" applyProtection="1">
      <alignment horizontal="center"/>
      <protection hidden="1"/>
    </xf>
    <xf numFmtId="0" fontId="1" fillId="9" borderId="67" xfId="0" applyFont="1" applyFill="1" applyBorder="1" applyAlignment="1" applyProtection="1">
      <alignment horizontal="center"/>
      <protection hidden="1"/>
    </xf>
    <xf numFmtId="0" fontId="1" fillId="7" borderId="59" xfId="2" applyFont="1" applyAlignment="1" applyProtection="1">
      <alignment horizontal="left" vertical="center" indent="1"/>
      <protection locked="0"/>
    </xf>
    <xf numFmtId="177" fontId="10" fillId="0" borderId="0" xfId="0" applyNumberFormat="1" applyFont="1" applyProtection="1">
      <protection hidden="1"/>
    </xf>
    <xf numFmtId="0" fontId="15" fillId="2" borderId="7" xfId="0" applyFont="1" applyFill="1" applyBorder="1" applyAlignment="1" applyProtection="1">
      <alignment horizontal="center" vertical="center" wrapText="1"/>
      <protection hidden="1"/>
    </xf>
    <xf numFmtId="0" fontId="15" fillId="2" borderId="8" xfId="0" applyFont="1" applyFill="1" applyBorder="1" applyAlignment="1" applyProtection="1">
      <alignment horizontal="center" vertical="center" wrapText="1"/>
      <protection hidden="1"/>
    </xf>
    <xf numFmtId="0" fontId="15" fillId="2" borderId="9" xfId="0" applyFont="1" applyFill="1" applyBorder="1" applyAlignment="1" applyProtection="1">
      <alignment horizontal="center" vertical="center" wrapText="1"/>
      <protection hidden="1"/>
    </xf>
    <xf numFmtId="0" fontId="15" fillId="2" borderId="57" xfId="0" applyFont="1" applyFill="1" applyBorder="1" applyAlignment="1" applyProtection="1">
      <alignment horizontal="center" vertical="center" wrapText="1"/>
      <protection hidden="1"/>
    </xf>
    <xf numFmtId="0" fontId="15" fillId="2" borderId="0" xfId="0" applyFont="1" applyFill="1" applyBorder="1" applyAlignment="1" applyProtection="1">
      <alignment horizontal="center" vertical="center" wrapText="1"/>
      <protection hidden="1"/>
    </xf>
    <xf numFmtId="0" fontId="15" fillId="2" borderId="58" xfId="0" applyFont="1" applyFill="1" applyBorder="1" applyAlignment="1" applyProtection="1">
      <alignment horizontal="center" vertical="center" wrapText="1"/>
      <protection hidden="1"/>
    </xf>
    <xf numFmtId="0" fontId="15" fillId="2" borderId="15" xfId="0" applyFont="1" applyFill="1" applyBorder="1" applyAlignment="1" applyProtection="1">
      <alignment horizontal="center" vertical="center" wrapText="1"/>
      <protection hidden="1"/>
    </xf>
    <xf numFmtId="0" fontId="15" fillId="2" borderId="16" xfId="0" applyFont="1" applyFill="1" applyBorder="1" applyAlignment="1" applyProtection="1">
      <alignment horizontal="center" vertical="center" wrapText="1"/>
      <protection hidden="1"/>
    </xf>
    <xf numFmtId="0" fontId="15" fillId="2" borderId="17" xfId="0" applyFont="1" applyFill="1" applyBorder="1" applyAlignment="1" applyProtection="1">
      <alignment horizontal="center" vertical="center" wrapText="1"/>
      <protection hidden="1"/>
    </xf>
    <xf numFmtId="0" fontId="0" fillId="4" borderId="25" xfId="0" applyFill="1" applyBorder="1" applyAlignment="1" applyProtection="1">
      <alignment horizontal="center" vertical="center"/>
      <protection hidden="1"/>
    </xf>
    <xf numFmtId="0" fontId="0" fillId="4" borderId="29" xfId="0" applyFill="1" applyBorder="1" applyAlignment="1" applyProtection="1">
      <alignment horizontal="center" vertical="center"/>
      <protection hidden="1"/>
    </xf>
    <xf numFmtId="0" fontId="8" fillId="0" borderId="38" xfId="0" applyFont="1" applyBorder="1" applyAlignment="1" applyProtection="1">
      <alignment horizontal="center" vertical="center" shrinkToFit="1"/>
      <protection hidden="1"/>
    </xf>
    <xf numFmtId="0" fontId="8" fillId="0" borderId="0" xfId="0" applyFont="1" applyBorder="1" applyAlignment="1" applyProtection="1">
      <alignment horizontal="center" vertical="center" shrinkToFit="1"/>
      <protection hidden="1"/>
    </xf>
    <xf numFmtId="0" fontId="9" fillId="0" borderId="38" xfId="0" applyFont="1" applyBorder="1" applyAlignment="1" applyProtection="1">
      <alignment horizontal="center" vertical="center" shrinkToFit="1"/>
      <protection hidden="1"/>
    </xf>
    <xf numFmtId="0" fontId="9" fillId="0" borderId="0" xfId="0" applyFont="1" applyBorder="1" applyAlignment="1" applyProtection="1">
      <alignment horizontal="center" vertical="center" shrinkToFit="1"/>
      <protection hidden="1"/>
    </xf>
    <xf numFmtId="0" fontId="7" fillId="3" borderId="7" xfId="0" applyFont="1" applyFill="1" applyBorder="1" applyAlignment="1" applyProtection="1">
      <alignment horizontal="center" vertical="center"/>
      <protection hidden="1"/>
    </xf>
    <xf numFmtId="0" fontId="7" fillId="3" borderId="8" xfId="0" applyFont="1" applyFill="1" applyBorder="1" applyAlignment="1" applyProtection="1">
      <alignment horizontal="center" vertical="center"/>
      <protection hidden="1"/>
    </xf>
    <xf numFmtId="0" fontId="7" fillId="3" borderId="9" xfId="0" applyFont="1" applyFill="1" applyBorder="1" applyAlignment="1" applyProtection="1">
      <alignment horizontal="center" vertical="center"/>
      <protection hidden="1"/>
    </xf>
    <xf numFmtId="0" fontId="7" fillId="3" borderId="15" xfId="0" applyFont="1" applyFill="1" applyBorder="1" applyAlignment="1" applyProtection="1">
      <alignment horizontal="center" vertical="center"/>
      <protection hidden="1"/>
    </xf>
    <xf numFmtId="0" fontId="7" fillId="3" borderId="16" xfId="0" applyFont="1" applyFill="1" applyBorder="1" applyAlignment="1" applyProtection="1">
      <alignment horizontal="center" vertical="center"/>
      <protection hidden="1"/>
    </xf>
    <xf numFmtId="0" fontId="7" fillId="3" borderId="17" xfId="0" applyFont="1" applyFill="1" applyBorder="1" applyAlignment="1" applyProtection="1">
      <alignment horizontal="center" vertical="center"/>
      <protection hidden="1"/>
    </xf>
    <xf numFmtId="0" fontId="14" fillId="6" borderId="7" xfId="0" applyFont="1" applyFill="1" applyBorder="1" applyAlignment="1" applyProtection="1">
      <alignment horizontal="center" vertical="center"/>
      <protection hidden="1"/>
    </xf>
    <xf numFmtId="0" fontId="14" fillId="6" borderId="8" xfId="0" applyFont="1" applyFill="1" applyBorder="1" applyAlignment="1" applyProtection="1">
      <alignment horizontal="center" vertical="center"/>
      <protection hidden="1"/>
    </xf>
    <xf numFmtId="0" fontId="14" fillId="6" borderId="9" xfId="0" applyFont="1" applyFill="1" applyBorder="1" applyAlignment="1" applyProtection="1">
      <alignment horizontal="center" vertical="center"/>
      <protection hidden="1"/>
    </xf>
    <xf numFmtId="0" fontId="14" fillId="6" borderId="15" xfId="0" applyFont="1" applyFill="1" applyBorder="1" applyAlignment="1" applyProtection="1">
      <alignment horizontal="center" vertical="center"/>
      <protection hidden="1"/>
    </xf>
    <xf numFmtId="0" fontId="14" fillId="6" borderId="16" xfId="0" applyFont="1" applyFill="1" applyBorder="1" applyAlignment="1" applyProtection="1">
      <alignment horizontal="center" vertical="center"/>
      <protection hidden="1"/>
    </xf>
    <xf numFmtId="0" fontId="14" fillId="6" borderId="17" xfId="0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Alignment="1" applyProtection="1">
      <alignment horizontal="center" vertical="center" shrinkToFit="1"/>
      <protection hidden="1"/>
    </xf>
    <xf numFmtId="0" fontId="6" fillId="0" borderId="0" xfId="1" applyFont="1" applyAlignment="1" applyProtection="1">
      <alignment horizontal="right"/>
      <protection hidden="1"/>
    </xf>
    <xf numFmtId="0" fontId="12" fillId="6" borderId="1" xfId="0" applyFont="1" applyFill="1" applyBorder="1" applyAlignment="1" applyProtection="1">
      <alignment horizontal="center" vertical="center"/>
      <protection hidden="1"/>
    </xf>
    <xf numFmtId="0" fontId="12" fillId="6" borderId="2" xfId="0" applyFont="1" applyFill="1" applyBorder="1" applyAlignment="1" applyProtection="1">
      <alignment horizontal="center" vertical="center"/>
      <protection hidden="1"/>
    </xf>
    <xf numFmtId="0" fontId="12" fillId="6" borderId="41" xfId="0" applyFont="1" applyFill="1" applyBorder="1" applyAlignment="1" applyProtection="1">
      <alignment horizontal="center" vertical="center"/>
      <protection hidden="1"/>
    </xf>
    <xf numFmtId="0" fontId="12" fillId="6" borderId="4" xfId="0" applyFont="1" applyFill="1" applyBorder="1" applyAlignment="1" applyProtection="1">
      <alignment horizontal="center" vertical="center"/>
      <protection hidden="1"/>
    </xf>
    <xf numFmtId="0" fontId="12" fillId="6" borderId="5" xfId="0" applyFont="1" applyFill="1" applyBorder="1" applyAlignment="1" applyProtection="1">
      <alignment horizontal="center" vertical="center"/>
      <protection hidden="1"/>
    </xf>
    <xf numFmtId="0" fontId="12" fillId="6" borderId="42" xfId="0" applyFont="1" applyFill="1" applyBorder="1" applyAlignment="1" applyProtection="1">
      <alignment horizontal="center" vertical="center"/>
      <protection hidden="1"/>
    </xf>
    <xf numFmtId="0" fontId="5" fillId="2" borderId="1" xfId="1" applyFont="1" applyFill="1" applyBorder="1" applyAlignment="1" applyProtection="1">
      <alignment horizontal="center" vertical="center"/>
      <protection hidden="1"/>
    </xf>
    <xf numFmtId="0" fontId="5" fillId="2" borderId="2" xfId="1" applyFont="1" applyFill="1" applyBorder="1" applyAlignment="1" applyProtection="1">
      <alignment horizontal="center" vertical="center"/>
      <protection hidden="1"/>
    </xf>
    <xf numFmtId="0" fontId="5" fillId="2" borderId="3" xfId="1" applyFont="1" applyFill="1" applyBorder="1" applyAlignment="1" applyProtection="1">
      <alignment horizontal="center" vertical="center"/>
      <protection hidden="1"/>
    </xf>
    <xf numFmtId="0" fontId="5" fillId="2" borderId="4" xfId="1" applyFont="1" applyFill="1" applyBorder="1" applyAlignment="1" applyProtection="1">
      <alignment horizontal="center" vertical="center"/>
      <protection hidden="1"/>
    </xf>
    <xf numFmtId="0" fontId="5" fillId="2" borderId="5" xfId="1" applyFont="1" applyFill="1" applyBorder="1" applyAlignment="1" applyProtection="1">
      <alignment horizontal="center" vertical="center"/>
      <protection hidden="1"/>
    </xf>
    <xf numFmtId="0" fontId="5" fillId="2" borderId="6" xfId="1" applyFont="1" applyFill="1" applyBorder="1" applyAlignment="1" applyProtection="1">
      <alignment horizontal="center" vertical="center"/>
      <protection hidden="1"/>
    </xf>
  </cellXfs>
  <cellStyles count="3">
    <cellStyle name="메모" xfId="2" builtinId="10"/>
    <cellStyle name="표준" xfId="0" builtinId="0"/>
    <cellStyle name="하이퍼링크" xfId="1" builtinId="8"/>
  </cellStyles>
  <dxfs count="100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 val="0"/>
        <i val="0"/>
        <condense val="0"/>
        <extend val="0"/>
        <color auto="1"/>
      </font>
      <fill>
        <patternFill>
          <bgColor rgb="FFFFFF99"/>
        </patternFill>
      </fill>
    </dxf>
    <dxf>
      <font>
        <condense val="0"/>
        <extend val="0"/>
        <color auto="1"/>
      </font>
      <fill>
        <patternFill>
          <bgColor rgb="FFFFFF99"/>
        </patternFill>
      </fill>
    </dxf>
    <dxf>
      <font>
        <b val="0"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colors>
    <mruColors>
      <color rgb="FFFFFF99"/>
      <color rgb="FF3366FF"/>
      <color rgb="FF0000FF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1260929</xdr:colOff>
      <xdr:row>6</xdr:row>
      <xdr:rowOff>22678</xdr:rowOff>
    </xdr:from>
    <xdr:to>
      <xdr:col>4</xdr:col>
      <xdr:colOff>1492251</xdr:colOff>
      <xdr:row>6</xdr:row>
      <xdr:rowOff>176893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2D1F7B-CF0A-41E6-9288-EB4175BF75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356178"/>
          <a:ext cx="231322" cy="154215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22</xdr:row>
      <xdr:rowOff>18143</xdr:rowOff>
    </xdr:from>
    <xdr:to>
      <xdr:col>4</xdr:col>
      <xdr:colOff>1492250</xdr:colOff>
      <xdr:row>22</xdr:row>
      <xdr:rowOff>172358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074EA50-1E57-40E6-851F-CA0EBD5346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4399643"/>
          <a:ext cx="231322" cy="154215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38</xdr:row>
      <xdr:rowOff>18143</xdr:rowOff>
    </xdr:from>
    <xdr:to>
      <xdr:col>7</xdr:col>
      <xdr:colOff>254001</xdr:colOff>
      <xdr:row>38</xdr:row>
      <xdr:rowOff>172358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020D312-7BC3-4FBD-AB9E-A97199354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7447643"/>
          <a:ext cx="231322" cy="154215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6</xdr:row>
      <xdr:rowOff>22679</xdr:rowOff>
    </xdr:from>
    <xdr:to>
      <xdr:col>7</xdr:col>
      <xdr:colOff>251278</xdr:colOff>
      <xdr:row>6</xdr:row>
      <xdr:rowOff>178127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FF0393A-621D-42D6-9296-5F6C72936D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1356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23</xdr:row>
      <xdr:rowOff>22679</xdr:rowOff>
    </xdr:from>
    <xdr:to>
      <xdr:col>7</xdr:col>
      <xdr:colOff>251278</xdr:colOff>
      <xdr:row>23</xdr:row>
      <xdr:rowOff>178127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3FF5326-1E09-47F7-8728-D0C1EDCDD41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4594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39</xdr:row>
      <xdr:rowOff>22678</xdr:rowOff>
    </xdr:from>
    <xdr:to>
      <xdr:col>4</xdr:col>
      <xdr:colOff>1489528</xdr:colOff>
      <xdr:row>39</xdr:row>
      <xdr:rowOff>178126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26A5583-6F72-424C-9841-654CCA231C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7642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7</xdr:row>
      <xdr:rowOff>22678</xdr:rowOff>
    </xdr:from>
    <xdr:to>
      <xdr:col>4</xdr:col>
      <xdr:colOff>1489529</xdr:colOff>
      <xdr:row>7</xdr:row>
      <xdr:rowOff>178126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44404A8-C949-4303-B512-2DD6D2E58D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546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22679</xdr:rowOff>
    </xdr:from>
    <xdr:to>
      <xdr:col>7</xdr:col>
      <xdr:colOff>255814</xdr:colOff>
      <xdr:row>22</xdr:row>
      <xdr:rowOff>178127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D67162D-EC15-4017-A67B-0BFB58ADA5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285" y="4404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39</xdr:row>
      <xdr:rowOff>22678</xdr:rowOff>
    </xdr:from>
    <xdr:to>
      <xdr:col>7</xdr:col>
      <xdr:colOff>251278</xdr:colOff>
      <xdr:row>39</xdr:row>
      <xdr:rowOff>178126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E350EA3-E56D-44C1-821A-98392C4744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7642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18142</xdr:colOff>
      <xdr:row>7</xdr:row>
      <xdr:rowOff>31750</xdr:rowOff>
    </xdr:from>
    <xdr:to>
      <xdr:col>7</xdr:col>
      <xdr:colOff>246742</xdr:colOff>
      <xdr:row>7</xdr:row>
      <xdr:rowOff>187198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C9DDC49-9DD8-43CB-9687-395B464F34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3" y="15557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23</xdr:row>
      <xdr:rowOff>36285</xdr:rowOff>
    </xdr:from>
    <xdr:to>
      <xdr:col>4</xdr:col>
      <xdr:colOff>1489528</xdr:colOff>
      <xdr:row>24</xdr:row>
      <xdr:rowOff>1233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4574D24-6927-4705-B0D1-CF432FF5A1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4608285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38</xdr:row>
      <xdr:rowOff>27214</xdr:rowOff>
    </xdr:from>
    <xdr:to>
      <xdr:col>4</xdr:col>
      <xdr:colOff>1489528</xdr:colOff>
      <xdr:row>38</xdr:row>
      <xdr:rowOff>182662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907F9C8A-37F1-41EA-830E-5B6DA553A6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7456714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8</xdr:row>
      <xdr:rowOff>22679</xdr:rowOff>
    </xdr:from>
    <xdr:to>
      <xdr:col>4</xdr:col>
      <xdr:colOff>1489529</xdr:colOff>
      <xdr:row>8</xdr:row>
      <xdr:rowOff>178127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758F92B-13BF-4E34-BBDF-057A37F5A6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737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24</xdr:row>
      <xdr:rowOff>22679</xdr:rowOff>
    </xdr:from>
    <xdr:to>
      <xdr:col>4</xdr:col>
      <xdr:colOff>1489529</xdr:colOff>
      <xdr:row>24</xdr:row>
      <xdr:rowOff>178127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C7C7E3F-C397-46B4-80E5-E01A13897BE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4785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40</xdr:row>
      <xdr:rowOff>22678</xdr:rowOff>
    </xdr:from>
    <xdr:to>
      <xdr:col>7</xdr:col>
      <xdr:colOff>251279</xdr:colOff>
      <xdr:row>40</xdr:row>
      <xdr:rowOff>178126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7E8A180D-4650-4A37-BFAB-CE482E9729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7833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8</xdr:row>
      <xdr:rowOff>22678</xdr:rowOff>
    </xdr:from>
    <xdr:to>
      <xdr:col>7</xdr:col>
      <xdr:colOff>246743</xdr:colOff>
      <xdr:row>8</xdr:row>
      <xdr:rowOff>178126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7CEF2871-1DC4-467D-88D6-19312A379F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1737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25</xdr:row>
      <xdr:rowOff>27214</xdr:rowOff>
    </xdr:from>
    <xdr:to>
      <xdr:col>7</xdr:col>
      <xdr:colOff>251279</xdr:colOff>
      <xdr:row>25</xdr:row>
      <xdr:rowOff>182662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1E4D3EF1-7C37-484B-BF7F-7419829506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4980214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41</xdr:row>
      <xdr:rowOff>22679</xdr:rowOff>
    </xdr:from>
    <xdr:to>
      <xdr:col>4</xdr:col>
      <xdr:colOff>1484993</xdr:colOff>
      <xdr:row>41</xdr:row>
      <xdr:rowOff>178127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F427A27E-B507-49F5-B9FD-8022163B26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023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41</xdr:row>
      <xdr:rowOff>27214</xdr:rowOff>
    </xdr:from>
    <xdr:to>
      <xdr:col>7</xdr:col>
      <xdr:colOff>246743</xdr:colOff>
      <xdr:row>41</xdr:row>
      <xdr:rowOff>182662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469088DB-5DF4-4A2B-B7C2-9A55EED56F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8028214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24</xdr:row>
      <xdr:rowOff>22678</xdr:rowOff>
    </xdr:from>
    <xdr:to>
      <xdr:col>7</xdr:col>
      <xdr:colOff>251278</xdr:colOff>
      <xdr:row>24</xdr:row>
      <xdr:rowOff>178126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430DB9D2-C059-44FC-912C-20B8AF1198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4785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9</xdr:row>
      <xdr:rowOff>18143</xdr:rowOff>
    </xdr:from>
    <xdr:to>
      <xdr:col>4</xdr:col>
      <xdr:colOff>1489529</xdr:colOff>
      <xdr:row>9</xdr:row>
      <xdr:rowOff>173591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20BA7981-FAB6-48F3-9D3C-1FFF5BAE22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923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9</xdr:row>
      <xdr:rowOff>22678</xdr:rowOff>
    </xdr:from>
    <xdr:to>
      <xdr:col>7</xdr:col>
      <xdr:colOff>246743</xdr:colOff>
      <xdr:row>9</xdr:row>
      <xdr:rowOff>178126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F8911F8B-EFB5-4EAF-9BCF-52B74B176C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1927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25</xdr:row>
      <xdr:rowOff>18143</xdr:rowOff>
    </xdr:from>
    <xdr:to>
      <xdr:col>4</xdr:col>
      <xdr:colOff>1489528</xdr:colOff>
      <xdr:row>25</xdr:row>
      <xdr:rowOff>173591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B9AE9F33-B65B-479A-B4AC-45E521F319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4971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40</xdr:row>
      <xdr:rowOff>18142</xdr:rowOff>
    </xdr:from>
    <xdr:to>
      <xdr:col>4</xdr:col>
      <xdr:colOff>1489529</xdr:colOff>
      <xdr:row>40</xdr:row>
      <xdr:rowOff>173590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1E03EFE6-6F0A-42E4-9B18-4EE68916BF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782864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10</xdr:row>
      <xdr:rowOff>22679</xdr:rowOff>
    </xdr:from>
    <xdr:to>
      <xdr:col>4</xdr:col>
      <xdr:colOff>1489528</xdr:colOff>
      <xdr:row>10</xdr:row>
      <xdr:rowOff>178127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34E832B8-E97E-4A62-95AC-8B1007A622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2118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26</xdr:row>
      <xdr:rowOff>22679</xdr:rowOff>
    </xdr:from>
    <xdr:to>
      <xdr:col>4</xdr:col>
      <xdr:colOff>1489529</xdr:colOff>
      <xdr:row>26</xdr:row>
      <xdr:rowOff>178127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FD3E60C5-3004-45D9-86DC-AEAECCDB9D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5166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42</xdr:row>
      <xdr:rowOff>22678</xdr:rowOff>
    </xdr:from>
    <xdr:to>
      <xdr:col>7</xdr:col>
      <xdr:colOff>246743</xdr:colOff>
      <xdr:row>42</xdr:row>
      <xdr:rowOff>178126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96520393-3B3A-4783-989C-AC1B55C8EE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8214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10</xdr:row>
      <xdr:rowOff>22679</xdr:rowOff>
    </xdr:from>
    <xdr:to>
      <xdr:col>7</xdr:col>
      <xdr:colOff>246743</xdr:colOff>
      <xdr:row>10</xdr:row>
      <xdr:rowOff>178127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86F25E43-2711-437F-BA14-DE451A8343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2118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27</xdr:row>
      <xdr:rowOff>18143</xdr:rowOff>
    </xdr:from>
    <xdr:to>
      <xdr:col>7</xdr:col>
      <xdr:colOff>246743</xdr:colOff>
      <xdr:row>27</xdr:row>
      <xdr:rowOff>173591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E8E43E5-63FB-435A-AF15-FFDA7DBD25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5352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43</xdr:row>
      <xdr:rowOff>18143</xdr:rowOff>
    </xdr:from>
    <xdr:to>
      <xdr:col>4</xdr:col>
      <xdr:colOff>1484993</xdr:colOff>
      <xdr:row>43</xdr:row>
      <xdr:rowOff>173591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8135ECA4-6926-4D9E-84A4-8CFF47F974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400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11</xdr:row>
      <xdr:rowOff>22679</xdr:rowOff>
    </xdr:from>
    <xdr:to>
      <xdr:col>4</xdr:col>
      <xdr:colOff>1489529</xdr:colOff>
      <xdr:row>11</xdr:row>
      <xdr:rowOff>178127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DB5F122D-CEDE-4275-9F1E-149FFDF1E38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2308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26</xdr:row>
      <xdr:rowOff>22679</xdr:rowOff>
    </xdr:from>
    <xdr:to>
      <xdr:col>7</xdr:col>
      <xdr:colOff>251278</xdr:colOff>
      <xdr:row>26</xdr:row>
      <xdr:rowOff>178127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9FD366AD-6D2A-47C3-8BAD-A5817B6E40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5166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43</xdr:row>
      <xdr:rowOff>18143</xdr:rowOff>
    </xdr:from>
    <xdr:to>
      <xdr:col>7</xdr:col>
      <xdr:colOff>246743</xdr:colOff>
      <xdr:row>43</xdr:row>
      <xdr:rowOff>173591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FEB6D2A6-1AF7-4F21-8948-55E6E89EDD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8400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11</xdr:row>
      <xdr:rowOff>18143</xdr:rowOff>
    </xdr:from>
    <xdr:to>
      <xdr:col>7</xdr:col>
      <xdr:colOff>246743</xdr:colOff>
      <xdr:row>11</xdr:row>
      <xdr:rowOff>173591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268C9EB8-59FE-4E14-B624-F9E0FA8C9A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2304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27</xdr:row>
      <xdr:rowOff>18143</xdr:rowOff>
    </xdr:from>
    <xdr:to>
      <xdr:col>4</xdr:col>
      <xdr:colOff>1489529</xdr:colOff>
      <xdr:row>27</xdr:row>
      <xdr:rowOff>173591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CC2E3A4A-21B4-418E-82B8-13DA91685B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5352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42</xdr:row>
      <xdr:rowOff>18143</xdr:rowOff>
    </xdr:from>
    <xdr:to>
      <xdr:col>4</xdr:col>
      <xdr:colOff>1484993</xdr:colOff>
      <xdr:row>42</xdr:row>
      <xdr:rowOff>173591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A774D11C-BCC9-4626-A38C-43CDFA0C61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2096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12</xdr:row>
      <xdr:rowOff>18143</xdr:rowOff>
    </xdr:from>
    <xdr:to>
      <xdr:col>4</xdr:col>
      <xdr:colOff>1489528</xdr:colOff>
      <xdr:row>12</xdr:row>
      <xdr:rowOff>173591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3091D98F-39A3-4DED-AB86-1102228192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24946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28</xdr:row>
      <xdr:rowOff>22679</xdr:rowOff>
    </xdr:from>
    <xdr:to>
      <xdr:col>4</xdr:col>
      <xdr:colOff>1489528</xdr:colOff>
      <xdr:row>28</xdr:row>
      <xdr:rowOff>178127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7D46A7CE-446D-40BD-BAAF-E08CC29168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5547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44</xdr:row>
      <xdr:rowOff>18143</xdr:rowOff>
    </xdr:from>
    <xdr:to>
      <xdr:col>7</xdr:col>
      <xdr:colOff>251279</xdr:colOff>
      <xdr:row>44</xdr:row>
      <xdr:rowOff>173591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8FE24F44-6FF3-459D-B7B6-61AD5F6151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85906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12</xdr:row>
      <xdr:rowOff>22679</xdr:rowOff>
    </xdr:from>
    <xdr:to>
      <xdr:col>7</xdr:col>
      <xdr:colOff>251278</xdr:colOff>
      <xdr:row>12</xdr:row>
      <xdr:rowOff>178127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9AFF4CDD-6468-4AC0-9266-9BCA906604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2499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45</xdr:row>
      <xdr:rowOff>22679</xdr:rowOff>
    </xdr:from>
    <xdr:to>
      <xdr:col>4</xdr:col>
      <xdr:colOff>1484993</xdr:colOff>
      <xdr:row>45</xdr:row>
      <xdr:rowOff>178127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EF89DD13-877B-4526-9931-DC1331EB162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785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29</xdr:row>
      <xdr:rowOff>22678</xdr:rowOff>
    </xdr:from>
    <xdr:to>
      <xdr:col>7</xdr:col>
      <xdr:colOff>246743</xdr:colOff>
      <xdr:row>29</xdr:row>
      <xdr:rowOff>178126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3C6BBFBB-3A0D-4F81-8B86-62D3359426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5737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13</xdr:row>
      <xdr:rowOff>22679</xdr:rowOff>
    </xdr:from>
    <xdr:to>
      <xdr:col>4</xdr:col>
      <xdr:colOff>1489528</xdr:colOff>
      <xdr:row>13</xdr:row>
      <xdr:rowOff>178127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28AD2DE9-AEBE-4886-BA39-2098C7ACD2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2689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17318</xdr:colOff>
      <xdr:row>28</xdr:row>
      <xdr:rowOff>17318</xdr:rowOff>
    </xdr:from>
    <xdr:to>
      <xdr:col>7</xdr:col>
      <xdr:colOff>245918</xdr:colOff>
      <xdr:row>28</xdr:row>
      <xdr:rowOff>172766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219D88A8-51A3-43CF-91FA-D1C03D6BFC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554181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21647</xdr:colOff>
      <xdr:row>45</xdr:row>
      <xdr:rowOff>17318</xdr:rowOff>
    </xdr:from>
    <xdr:to>
      <xdr:col>7</xdr:col>
      <xdr:colOff>250247</xdr:colOff>
      <xdr:row>45</xdr:row>
      <xdr:rowOff>172766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6C863DD3-89DA-40AE-955B-A207025BBC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079" y="878031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17318</xdr:colOff>
      <xdr:row>13</xdr:row>
      <xdr:rowOff>21648</xdr:rowOff>
    </xdr:from>
    <xdr:to>
      <xdr:col>7</xdr:col>
      <xdr:colOff>245918</xdr:colOff>
      <xdr:row>13</xdr:row>
      <xdr:rowOff>177096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6532FDD9-9E8C-4CED-BEA1-3588AAAFCD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268864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1259897</xdr:colOff>
      <xdr:row>29</xdr:row>
      <xdr:rowOff>21648</xdr:rowOff>
    </xdr:from>
    <xdr:to>
      <xdr:col>4</xdr:col>
      <xdr:colOff>1488497</xdr:colOff>
      <xdr:row>29</xdr:row>
      <xdr:rowOff>177096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1E2A188B-6FFD-484C-B377-17AB21746F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0147" y="573664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1255568</xdr:colOff>
      <xdr:row>44</xdr:row>
      <xdr:rowOff>17318</xdr:rowOff>
    </xdr:from>
    <xdr:to>
      <xdr:col>4</xdr:col>
      <xdr:colOff>1484168</xdr:colOff>
      <xdr:row>44</xdr:row>
      <xdr:rowOff>172766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A0969B6B-28C3-4681-B41E-70E963636C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818" y="858981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14</xdr:row>
      <xdr:rowOff>23812</xdr:rowOff>
    </xdr:from>
    <xdr:to>
      <xdr:col>4</xdr:col>
      <xdr:colOff>1485900</xdr:colOff>
      <xdr:row>14</xdr:row>
      <xdr:rowOff>179260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FA269DB6-46C6-4218-B3C4-C8B01819E8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288131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30</xdr:row>
      <xdr:rowOff>19050</xdr:rowOff>
    </xdr:from>
    <xdr:to>
      <xdr:col>4</xdr:col>
      <xdr:colOff>1490663</xdr:colOff>
      <xdr:row>30</xdr:row>
      <xdr:rowOff>174498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62B9BA3E-DF82-4DE7-8342-8154C9F1C6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5924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46</xdr:row>
      <xdr:rowOff>19050</xdr:rowOff>
    </xdr:from>
    <xdr:to>
      <xdr:col>7</xdr:col>
      <xdr:colOff>247650</xdr:colOff>
      <xdr:row>46</xdr:row>
      <xdr:rowOff>174498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89AD693E-AE03-477C-A59D-DA119AD033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8972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</xdr:colOff>
      <xdr:row>14</xdr:row>
      <xdr:rowOff>19050</xdr:rowOff>
    </xdr:from>
    <xdr:to>
      <xdr:col>7</xdr:col>
      <xdr:colOff>203073</xdr:colOff>
      <xdr:row>14</xdr:row>
      <xdr:rowOff>174498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F1F82DCD-F711-4055-929C-9039D8C2EE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24325" y="2876550"/>
          <a:ext cx="155448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42862</xdr:colOff>
      <xdr:row>31</xdr:row>
      <xdr:rowOff>19050</xdr:rowOff>
    </xdr:from>
    <xdr:to>
      <xdr:col>7</xdr:col>
      <xdr:colOff>198310</xdr:colOff>
      <xdr:row>31</xdr:row>
      <xdr:rowOff>174498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B045A3C6-F8DF-4129-9198-8F3FD7EFBE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9562" y="6115050"/>
          <a:ext cx="155448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1290638</xdr:colOff>
      <xdr:row>47</xdr:row>
      <xdr:rowOff>19050</xdr:rowOff>
    </xdr:from>
    <xdr:to>
      <xdr:col>4</xdr:col>
      <xdr:colOff>1446086</xdr:colOff>
      <xdr:row>47</xdr:row>
      <xdr:rowOff>174498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A9055DF6-EFE3-4745-B03C-E512B8030D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0888" y="9163050"/>
          <a:ext cx="155448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15</xdr:row>
      <xdr:rowOff>19050</xdr:rowOff>
    </xdr:from>
    <xdr:to>
      <xdr:col>4</xdr:col>
      <xdr:colOff>1485900</xdr:colOff>
      <xdr:row>15</xdr:row>
      <xdr:rowOff>174498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7E1E8E5D-9CD8-483B-A965-63B4B8DB42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06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30</xdr:row>
      <xdr:rowOff>19052</xdr:rowOff>
    </xdr:from>
    <xdr:to>
      <xdr:col>7</xdr:col>
      <xdr:colOff>247650</xdr:colOff>
      <xdr:row>30</xdr:row>
      <xdr:rowOff>174500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B1ED872F-CCCE-40D5-BF89-D47AB08A74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592455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47</xdr:row>
      <xdr:rowOff>19050</xdr:rowOff>
    </xdr:from>
    <xdr:to>
      <xdr:col>7</xdr:col>
      <xdr:colOff>247650</xdr:colOff>
      <xdr:row>47</xdr:row>
      <xdr:rowOff>174498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CA2FB5DC-9F67-45CC-8D0B-5D9411E6E1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9163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15</xdr:row>
      <xdr:rowOff>19050</xdr:rowOff>
    </xdr:from>
    <xdr:to>
      <xdr:col>7</xdr:col>
      <xdr:colOff>247650</xdr:colOff>
      <xdr:row>15</xdr:row>
      <xdr:rowOff>174498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9F9829FD-F645-48AC-8CC3-79FCC46F36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06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31</xdr:row>
      <xdr:rowOff>19050</xdr:rowOff>
    </xdr:from>
    <xdr:to>
      <xdr:col>4</xdr:col>
      <xdr:colOff>1490663</xdr:colOff>
      <xdr:row>31</xdr:row>
      <xdr:rowOff>174498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66F63FE7-6012-4746-9787-F455E4CC4A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6115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46</xdr:row>
      <xdr:rowOff>19050</xdr:rowOff>
    </xdr:from>
    <xdr:to>
      <xdr:col>4</xdr:col>
      <xdr:colOff>1485900</xdr:colOff>
      <xdr:row>46</xdr:row>
      <xdr:rowOff>174498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2334520F-8F71-49F5-91BB-97D5AFDE78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8972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16</xdr:row>
      <xdr:rowOff>19050</xdr:rowOff>
    </xdr:from>
    <xdr:to>
      <xdr:col>4</xdr:col>
      <xdr:colOff>1485900</xdr:colOff>
      <xdr:row>16</xdr:row>
      <xdr:rowOff>174498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5B72B181-A6EA-4411-85A3-175E55FA11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257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32</xdr:row>
      <xdr:rowOff>19050</xdr:rowOff>
    </xdr:from>
    <xdr:to>
      <xdr:col>4</xdr:col>
      <xdr:colOff>1485900</xdr:colOff>
      <xdr:row>32</xdr:row>
      <xdr:rowOff>174498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1E829F40-6E2B-4B38-8263-9E03252F0D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630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48</xdr:row>
      <xdr:rowOff>19049</xdr:rowOff>
    </xdr:from>
    <xdr:to>
      <xdr:col>7</xdr:col>
      <xdr:colOff>247650</xdr:colOff>
      <xdr:row>48</xdr:row>
      <xdr:rowOff>174497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1C9A14DD-2CA3-481B-8F3E-99E6EA13B1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935354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16</xdr:row>
      <xdr:rowOff>23813</xdr:rowOff>
    </xdr:from>
    <xdr:to>
      <xdr:col>7</xdr:col>
      <xdr:colOff>247650</xdr:colOff>
      <xdr:row>16</xdr:row>
      <xdr:rowOff>179261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D5513EF9-D185-415D-BA71-860A6E90A4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2623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33</xdr:row>
      <xdr:rowOff>19050</xdr:rowOff>
    </xdr:from>
    <xdr:to>
      <xdr:col>7</xdr:col>
      <xdr:colOff>247650</xdr:colOff>
      <xdr:row>33</xdr:row>
      <xdr:rowOff>174498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B1643AE2-2F85-47C0-B0A1-56EC1E143B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649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49</xdr:row>
      <xdr:rowOff>19050</xdr:rowOff>
    </xdr:from>
    <xdr:to>
      <xdr:col>4</xdr:col>
      <xdr:colOff>1490662</xdr:colOff>
      <xdr:row>49</xdr:row>
      <xdr:rowOff>174498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F7944DA7-71BA-4D41-BE00-6F1BB2CC03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9544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17</xdr:row>
      <xdr:rowOff>19050</xdr:rowOff>
    </xdr:from>
    <xdr:to>
      <xdr:col>4</xdr:col>
      <xdr:colOff>1485900</xdr:colOff>
      <xdr:row>17</xdr:row>
      <xdr:rowOff>174498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972BBEE1-94C8-4032-8C1E-43F2698B3B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44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32</xdr:row>
      <xdr:rowOff>19050</xdr:rowOff>
    </xdr:from>
    <xdr:to>
      <xdr:col>7</xdr:col>
      <xdr:colOff>247650</xdr:colOff>
      <xdr:row>32</xdr:row>
      <xdr:rowOff>174498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8954795A-F65C-4D16-958F-24EBDC185F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630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19049</xdr:colOff>
      <xdr:row>49</xdr:row>
      <xdr:rowOff>19050</xdr:rowOff>
    </xdr:from>
    <xdr:to>
      <xdr:col>7</xdr:col>
      <xdr:colOff>247649</xdr:colOff>
      <xdr:row>49</xdr:row>
      <xdr:rowOff>174498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F5E6624D-C6CE-4279-A0EA-880F00DD76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9544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17</xdr:row>
      <xdr:rowOff>19050</xdr:rowOff>
    </xdr:from>
    <xdr:to>
      <xdr:col>7</xdr:col>
      <xdr:colOff>247650</xdr:colOff>
      <xdr:row>17</xdr:row>
      <xdr:rowOff>174498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1ED8E5D1-9E01-4BB1-AE3A-8F90C342B4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44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33</xdr:row>
      <xdr:rowOff>19050</xdr:rowOff>
    </xdr:from>
    <xdr:to>
      <xdr:col>4</xdr:col>
      <xdr:colOff>1485900</xdr:colOff>
      <xdr:row>33</xdr:row>
      <xdr:rowOff>174498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C41B3F25-ED4E-4862-8283-59F4DD2ACB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649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48</xdr:row>
      <xdr:rowOff>19050</xdr:rowOff>
    </xdr:from>
    <xdr:to>
      <xdr:col>4</xdr:col>
      <xdr:colOff>1485900</xdr:colOff>
      <xdr:row>48</xdr:row>
      <xdr:rowOff>174498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8305E90C-3ED9-4559-BB6B-4BF7A3A20F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9353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18</xdr:row>
      <xdr:rowOff>19050</xdr:rowOff>
    </xdr:from>
    <xdr:to>
      <xdr:col>4</xdr:col>
      <xdr:colOff>1468755</xdr:colOff>
      <xdr:row>18</xdr:row>
      <xdr:rowOff>174498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761D5085-AC69-4CED-9A1F-B98E49A1A1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6125" y="3638550"/>
          <a:ext cx="18288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34</xdr:row>
      <xdr:rowOff>19050</xdr:rowOff>
    </xdr:from>
    <xdr:to>
      <xdr:col>4</xdr:col>
      <xdr:colOff>1468755</xdr:colOff>
      <xdr:row>34</xdr:row>
      <xdr:rowOff>174498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783D46FA-D932-4677-88DE-22CF7729D3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6125" y="6686550"/>
          <a:ext cx="18288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50</xdr:row>
      <xdr:rowOff>19050</xdr:rowOff>
    </xdr:from>
    <xdr:to>
      <xdr:col>7</xdr:col>
      <xdr:colOff>220980</xdr:colOff>
      <xdr:row>50</xdr:row>
      <xdr:rowOff>174498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B7D835A9-995B-4251-B374-7B0B6EEF23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0" y="9734550"/>
          <a:ext cx="18288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18</xdr:row>
      <xdr:rowOff>19050</xdr:rowOff>
    </xdr:from>
    <xdr:to>
      <xdr:col>7</xdr:col>
      <xdr:colOff>247650</xdr:colOff>
      <xdr:row>18</xdr:row>
      <xdr:rowOff>174498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E0AE5A2F-6EE2-4619-B9F1-05C5E8CA3A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638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23812</xdr:colOff>
      <xdr:row>35</xdr:row>
      <xdr:rowOff>19050</xdr:rowOff>
    </xdr:from>
    <xdr:to>
      <xdr:col>7</xdr:col>
      <xdr:colOff>252412</xdr:colOff>
      <xdr:row>35</xdr:row>
      <xdr:rowOff>174498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BA2D6FCF-9DD4-489B-A17D-8027937433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2" y="687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51</xdr:row>
      <xdr:rowOff>19050</xdr:rowOff>
    </xdr:from>
    <xdr:to>
      <xdr:col>4</xdr:col>
      <xdr:colOff>1485900</xdr:colOff>
      <xdr:row>51</xdr:row>
      <xdr:rowOff>174498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6C059E41-AD5E-41B7-BD6A-26B3047A30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9925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19</xdr:row>
      <xdr:rowOff>19050</xdr:rowOff>
    </xdr:from>
    <xdr:to>
      <xdr:col>4</xdr:col>
      <xdr:colOff>1485900</xdr:colOff>
      <xdr:row>19</xdr:row>
      <xdr:rowOff>174498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7F1C56CC-E6F1-4BAA-BA4D-5D5606B712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829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34</xdr:row>
      <xdr:rowOff>19050</xdr:rowOff>
    </xdr:from>
    <xdr:to>
      <xdr:col>7</xdr:col>
      <xdr:colOff>247650</xdr:colOff>
      <xdr:row>34</xdr:row>
      <xdr:rowOff>174498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E9CDE71-448F-4B48-8B86-03EAE9CD3F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6686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51</xdr:row>
      <xdr:rowOff>19050</xdr:rowOff>
    </xdr:from>
    <xdr:to>
      <xdr:col>7</xdr:col>
      <xdr:colOff>247650</xdr:colOff>
      <xdr:row>51</xdr:row>
      <xdr:rowOff>174498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77B82CD8-BF66-4353-8124-2202FB7042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9925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1257301</xdr:colOff>
      <xdr:row>20</xdr:row>
      <xdr:rowOff>19050</xdr:rowOff>
    </xdr:from>
    <xdr:to>
      <xdr:col>4</xdr:col>
      <xdr:colOff>1485901</xdr:colOff>
      <xdr:row>20</xdr:row>
      <xdr:rowOff>174498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3236BD3-06FA-44C5-B296-D2749AA0D2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1" y="4019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36</xdr:row>
      <xdr:rowOff>19050</xdr:rowOff>
    </xdr:from>
    <xdr:to>
      <xdr:col>4</xdr:col>
      <xdr:colOff>1490663</xdr:colOff>
      <xdr:row>36</xdr:row>
      <xdr:rowOff>174498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C9F07DDD-DA56-44A9-BFF5-25506DA09D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7067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52</xdr:row>
      <xdr:rowOff>19050</xdr:rowOff>
    </xdr:from>
    <xdr:to>
      <xdr:col>7</xdr:col>
      <xdr:colOff>247650</xdr:colOff>
      <xdr:row>52</xdr:row>
      <xdr:rowOff>174498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D075DCC8-DF72-4DA8-8E05-A7E4524E64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1011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23813</xdr:colOff>
      <xdr:row>20</xdr:row>
      <xdr:rowOff>23813</xdr:rowOff>
    </xdr:from>
    <xdr:to>
      <xdr:col>7</xdr:col>
      <xdr:colOff>252413</xdr:colOff>
      <xdr:row>20</xdr:row>
      <xdr:rowOff>179261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86EDEDB-C790-4B9C-B601-30D65C127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3" y="40243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23812</xdr:colOff>
      <xdr:row>37</xdr:row>
      <xdr:rowOff>19050</xdr:rowOff>
    </xdr:from>
    <xdr:to>
      <xdr:col>7</xdr:col>
      <xdr:colOff>252412</xdr:colOff>
      <xdr:row>37</xdr:row>
      <xdr:rowOff>174498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BC212AEE-0C98-44DE-A5C2-921C49961C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2" y="725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53</xdr:row>
      <xdr:rowOff>19050</xdr:rowOff>
    </xdr:from>
    <xdr:to>
      <xdr:col>4</xdr:col>
      <xdr:colOff>1485900</xdr:colOff>
      <xdr:row>53</xdr:row>
      <xdr:rowOff>174498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118DACD7-BAFA-4CC4-9694-CFD014FE8A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1030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21</xdr:row>
      <xdr:rowOff>23813</xdr:rowOff>
    </xdr:from>
    <xdr:to>
      <xdr:col>4</xdr:col>
      <xdr:colOff>1490663</xdr:colOff>
      <xdr:row>21</xdr:row>
      <xdr:rowOff>179261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04C9863-1D5F-4EF0-88D3-D28A0BD964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42148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23813</xdr:colOff>
      <xdr:row>36</xdr:row>
      <xdr:rowOff>23813</xdr:rowOff>
    </xdr:from>
    <xdr:to>
      <xdr:col>7</xdr:col>
      <xdr:colOff>252413</xdr:colOff>
      <xdr:row>36</xdr:row>
      <xdr:rowOff>179261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EA29762E-6A19-4AF6-B954-D683CEE32E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3" y="70723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53</xdr:row>
      <xdr:rowOff>19050</xdr:rowOff>
    </xdr:from>
    <xdr:to>
      <xdr:col>7</xdr:col>
      <xdr:colOff>247650</xdr:colOff>
      <xdr:row>53</xdr:row>
      <xdr:rowOff>174498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0D16448A-B33C-4535-8A78-36B0E518B1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1030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21</xdr:row>
      <xdr:rowOff>19050</xdr:rowOff>
    </xdr:from>
    <xdr:to>
      <xdr:col>7</xdr:col>
      <xdr:colOff>247650</xdr:colOff>
      <xdr:row>21</xdr:row>
      <xdr:rowOff>174498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18FBDACA-08EA-4786-B95D-5EA28C84BF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4210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37</xdr:row>
      <xdr:rowOff>19050</xdr:rowOff>
    </xdr:from>
    <xdr:to>
      <xdr:col>4</xdr:col>
      <xdr:colOff>1490662</xdr:colOff>
      <xdr:row>37</xdr:row>
      <xdr:rowOff>174498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BC79F0CD-E530-4D2C-9A0E-6EFD551E07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725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52</xdr:row>
      <xdr:rowOff>19050</xdr:rowOff>
    </xdr:from>
    <xdr:to>
      <xdr:col>4</xdr:col>
      <xdr:colOff>1490662</xdr:colOff>
      <xdr:row>52</xdr:row>
      <xdr:rowOff>174498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E6A06AE1-0FFC-4194-945D-A65E9964C0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1011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23813</xdr:colOff>
      <xdr:row>19</xdr:row>
      <xdr:rowOff>23812</xdr:rowOff>
    </xdr:from>
    <xdr:to>
      <xdr:col>7</xdr:col>
      <xdr:colOff>252413</xdr:colOff>
      <xdr:row>19</xdr:row>
      <xdr:rowOff>179260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3D7E6438-16FE-436E-B3C5-23BC6D3911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3" y="383381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35</xdr:row>
      <xdr:rowOff>19050</xdr:rowOff>
    </xdr:from>
    <xdr:to>
      <xdr:col>4</xdr:col>
      <xdr:colOff>1490662</xdr:colOff>
      <xdr:row>35</xdr:row>
      <xdr:rowOff>174498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55E7E415-E395-4BC5-A843-328CE5C012D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687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1257302</xdr:colOff>
      <xdr:row>50</xdr:row>
      <xdr:rowOff>19050</xdr:rowOff>
    </xdr:from>
    <xdr:to>
      <xdr:col>4</xdr:col>
      <xdr:colOff>1485902</xdr:colOff>
      <xdr:row>50</xdr:row>
      <xdr:rowOff>174498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A40246C0-BC20-4BC1-9884-A07D67C7AB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2" y="9734550"/>
          <a:ext cx="228600" cy="1554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xcely.com/football/fifa-world-cup-statistics.shtml" TargetMode="External"/><Relationship Id="rId2" Type="http://schemas.openxmlformats.org/officeDocument/2006/relationships/hyperlink" Target="http://www.excely.com/football/2018-fifa-world-cup-schedule.shtml" TargetMode="External"/><Relationship Id="rId1" Type="http://schemas.openxmlformats.org/officeDocument/2006/relationships/hyperlink" Target="http://www.excely.com/ice-hockey/world-cup-2009-schedule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14" defaultRowHeight="16.5" x14ac:dyDescent="0.3"/>
  <cols>
    <col min="1" max="1" width="14" style="81"/>
  </cols>
  <sheetData>
    <row r="1" spans="1:44" x14ac:dyDescent="0.3">
      <c r="A1" s="8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2553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</row>
    <row r="2" spans="1:44" x14ac:dyDescent="0.3">
      <c r="A2" s="81" t="s">
        <v>2074</v>
      </c>
      <c r="B2" t="s">
        <v>2075</v>
      </c>
      <c r="C2" t="s">
        <v>2076</v>
      </c>
      <c r="D2" t="s">
        <v>2077</v>
      </c>
      <c r="E2" t="s">
        <v>2078</v>
      </c>
      <c r="F2" t="s">
        <v>2079</v>
      </c>
      <c r="G2" t="s">
        <v>2080</v>
      </c>
      <c r="H2" t="s">
        <v>2081</v>
      </c>
      <c r="I2" t="s">
        <v>2082</v>
      </c>
      <c r="J2" t="s">
        <v>2083</v>
      </c>
      <c r="K2" t="s">
        <v>2084</v>
      </c>
      <c r="L2" t="s">
        <v>2085</v>
      </c>
      <c r="M2" t="s">
        <v>2086</v>
      </c>
      <c r="N2" t="s">
        <v>2554</v>
      </c>
      <c r="O2" t="s">
        <v>2087</v>
      </c>
      <c r="P2" t="s">
        <v>2088</v>
      </c>
      <c r="Q2" t="s">
        <v>2089</v>
      </c>
      <c r="R2" t="s">
        <v>2090</v>
      </c>
      <c r="S2" t="s">
        <v>2091</v>
      </c>
      <c r="T2" t="s">
        <v>2092</v>
      </c>
      <c r="U2" t="s">
        <v>2093</v>
      </c>
      <c r="V2" t="s">
        <v>2094</v>
      </c>
      <c r="W2" t="s">
        <v>2095</v>
      </c>
      <c r="X2" t="s">
        <v>2096</v>
      </c>
      <c r="Y2" t="s">
        <v>2097</v>
      </c>
      <c r="Z2" t="s">
        <v>2576</v>
      </c>
      <c r="AA2" t="s">
        <v>2098</v>
      </c>
      <c r="AB2" t="s">
        <v>2099</v>
      </c>
      <c r="AC2" t="s">
        <v>2100</v>
      </c>
      <c r="AD2" t="s">
        <v>2580</v>
      </c>
      <c r="AE2" t="s">
        <v>2101</v>
      </c>
      <c r="AF2" t="s">
        <v>2102</v>
      </c>
      <c r="AG2" t="s">
        <v>2103</v>
      </c>
      <c r="AH2" t="s">
        <v>2104</v>
      </c>
      <c r="AI2" t="s">
        <v>2105</v>
      </c>
      <c r="AJ2" t="s">
        <v>2106</v>
      </c>
      <c r="AK2" t="s">
        <v>2107</v>
      </c>
      <c r="AL2" t="s">
        <v>2108</v>
      </c>
      <c r="AM2" t="s">
        <v>2109</v>
      </c>
      <c r="AN2" t="s">
        <v>2110</v>
      </c>
      <c r="AO2" t="s">
        <v>2111</v>
      </c>
      <c r="AP2" s="1" t="s">
        <v>2112</v>
      </c>
      <c r="AQ2" t="s">
        <v>43</v>
      </c>
      <c r="AR2" t="s">
        <v>2113</v>
      </c>
    </row>
    <row r="3" spans="1:44" x14ac:dyDescent="0.3">
      <c r="A3" s="81" t="s">
        <v>44</v>
      </c>
      <c r="B3" t="s">
        <v>45</v>
      </c>
      <c r="C3" t="s">
        <v>46</v>
      </c>
      <c r="D3" t="s">
        <v>47</v>
      </c>
      <c r="E3" t="s">
        <v>48</v>
      </c>
      <c r="F3" t="s">
        <v>49</v>
      </c>
      <c r="G3" t="s">
        <v>50</v>
      </c>
      <c r="H3" t="s">
        <v>51</v>
      </c>
      <c r="I3" t="s">
        <v>52</v>
      </c>
      <c r="J3" t="s">
        <v>53</v>
      </c>
      <c r="K3" t="s">
        <v>54</v>
      </c>
      <c r="L3" t="s">
        <v>55</v>
      </c>
      <c r="M3" t="s">
        <v>56</v>
      </c>
      <c r="N3" t="s">
        <v>2555</v>
      </c>
      <c r="O3" t="s">
        <v>57</v>
      </c>
      <c r="P3" t="s">
        <v>58</v>
      </c>
      <c r="Q3" t="s">
        <v>59</v>
      </c>
      <c r="R3" t="s">
        <v>60</v>
      </c>
      <c r="S3" t="s">
        <v>61</v>
      </c>
      <c r="T3" t="s">
        <v>62</v>
      </c>
      <c r="U3" t="s">
        <v>63</v>
      </c>
      <c r="V3" t="s">
        <v>64</v>
      </c>
      <c r="W3" t="s">
        <v>65</v>
      </c>
      <c r="X3" t="s">
        <v>66</v>
      </c>
      <c r="Y3" t="s">
        <v>67</v>
      </c>
      <c r="Z3" t="s">
        <v>68</v>
      </c>
      <c r="AA3" t="s">
        <v>69</v>
      </c>
      <c r="AB3" t="s">
        <v>70</v>
      </c>
      <c r="AC3" t="s">
        <v>71</v>
      </c>
      <c r="AD3" t="s">
        <v>72</v>
      </c>
      <c r="AE3" t="s">
        <v>73</v>
      </c>
      <c r="AF3" t="s">
        <v>74</v>
      </c>
      <c r="AG3" t="s">
        <v>75</v>
      </c>
      <c r="AH3" t="s">
        <v>76</v>
      </c>
      <c r="AI3" t="s">
        <v>77</v>
      </c>
      <c r="AJ3" t="s">
        <v>78</v>
      </c>
      <c r="AK3" t="s">
        <v>73</v>
      </c>
      <c r="AL3" t="s">
        <v>79</v>
      </c>
      <c r="AM3" t="s">
        <v>80</v>
      </c>
      <c r="AN3" t="s">
        <v>81</v>
      </c>
      <c r="AO3" t="s">
        <v>82</v>
      </c>
      <c r="AP3" t="s">
        <v>83</v>
      </c>
      <c r="AQ3" t="s">
        <v>84</v>
      </c>
      <c r="AR3" t="s">
        <v>85</v>
      </c>
    </row>
    <row r="4" spans="1:44" x14ac:dyDescent="0.3">
      <c r="A4" s="81" t="s">
        <v>86</v>
      </c>
      <c r="B4" t="s">
        <v>87</v>
      </c>
      <c r="C4" t="s">
        <v>88</v>
      </c>
      <c r="D4" t="s">
        <v>89</v>
      </c>
      <c r="E4" t="s">
        <v>90</v>
      </c>
      <c r="F4" t="s">
        <v>91</v>
      </c>
      <c r="G4" t="s">
        <v>92</v>
      </c>
      <c r="H4" t="s">
        <v>93</v>
      </c>
      <c r="I4" t="s">
        <v>94</v>
      </c>
      <c r="J4" t="s">
        <v>95</v>
      </c>
      <c r="K4" t="s">
        <v>96</v>
      </c>
      <c r="L4" t="s">
        <v>97</v>
      </c>
      <c r="M4" t="s">
        <v>98</v>
      </c>
      <c r="N4" t="s">
        <v>2556</v>
      </c>
      <c r="O4" t="s">
        <v>99</v>
      </c>
      <c r="P4" t="s">
        <v>100</v>
      </c>
      <c r="Q4" t="s">
        <v>101</v>
      </c>
      <c r="R4" t="s">
        <v>102</v>
      </c>
      <c r="S4" t="s">
        <v>103</v>
      </c>
      <c r="T4" t="s">
        <v>104</v>
      </c>
      <c r="U4" t="s">
        <v>105</v>
      </c>
      <c r="V4" t="s">
        <v>106</v>
      </c>
      <c r="W4" t="s">
        <v>107</v>
      </c>
      <c r="X4" t="s">
        <v>108</v>
      </c>
      <c r="Y4" t="s">
        <v>109</v>
      </c>
      <c r="Z4" t="s">
        <v>110</v>
      </c>
      <c r="AA4" t="s">
        <v>111</v>
      </c>
      <c r="AB4" t="s">
        <v>112</v>
      </c>
      <c r="AC4" t="s">
        <v>113</v>
      </c>
      <c r="AD4" t="s">
        <v>114</v>
      </c>
      <c r="AE4" t="s">
        <v>115</v>
      </c>
      <c r="AF4" t="s">
        <v>116</v>
      </c>
      <c r="AG4" t="s">
        <v>117</v>
      </c>
      <c r="AH4" t="s">
        <v>118</v>
      </c>
      <c r="AI4" t="s">
        <v>119</v>
      </c>
      <c r="AJ4" t="s">
        <v>120</v>
      </c>
      <c r="AK4" t="s">
        <v>121</v>
      </c>
      <c r="AL4" t="s">
        <v>122</v>
      </c>
      <c r="AM4" t="s">
        <v>123</v>
      </c>
      <c r="AN4" t="s">
        <v>124</v>
      </c>
      <c r="AO4" t="s">
        <v>125</v>
      </c>
      <c r="AP4" t="s">
        <v>126</v>
      </c>
      <c r="AQ4" t="s">
        <v>127</v>
      </c>
      <c r="AR4" t="s">
        <v>128</v>
      </c>
    </row>
    <row r="5" spans="1:44" x14ac:dyDescent="0.3">
      <c r="A5" s="81" t="s">
        <v>129</v>
      </c>
      <c r="B5" t="s">
        <v>130</v>
      </c>
      <c r="C5" t="s">
        <v>131</v>
      </c>
      <c r="D5" t="s">
        <v>132</v>
      </c>
      <c r="E5" t="s">
        <v>133</v>
      </c>
      <c r="F5" t="s">
        <v>134</v>
      </c>
      <c r="G5" t="s">
        <v>135</v>
      </c>
      <c r="H5" t="s">
        <v>136</v>
      </c>
      <c r="I5" t="s">
        <v>137</v>
      </c>
      <c r="J5" t="s">
        <v>138</v>
      </c>
      <c r="K5" t="s">
        <v>139</v>
      </c>
      <c r="L5" t="s">
        <v>140</v>
      </c>
      <c r="M5" t="s">
        <v>141</v>
      </c>
      <c r="N5" t="s">
        <v>2557</v>
      </c>
      <c r="O5" t="s">
        <v>142</v>
      </c>
      <c r="P5" t="s">
        <v>143</v>
      </c>
      <c r="Q5" t="s">
        <v>144</v>
      </c>
      <c r="R5" t="s">
        <v>145</v>
      </c>
      <c r="S5" t="s">
        <v>146</v>
      </c>
      <c r="T5" t="s">
        <v>147</v>
      </c>
      <c r="U5" t="s">
        <v>148</v>
      </c>
      <c r="V5" t="s">
        <v>149</v>
      </c>
      <c r="W5" t="s">
        <v>150</v>
      </c>
      <c r="X5" t="s">
        <v>151</v>
      </c>
      <c r="Y5" t="s">
        <v>152</v>
      </c>
      <c r="Z5" t="s">
        <v>153</v>
      </c>
      <c r="AA5" t="s">
        <v>154</v>
      </c>
      <c r="AB5" t="s">
        <v>140</v>
      </c>
      <c r="AC5" t="s">
        <v>155</v>
      </c>
      <c r="AD5" t="s">
        <v>156</v>
      </c>
      <c r="AE5" t="s">
        <v>157</v>
      </c>
      <c r="AF5" t="s">
        <v>158</v>
      </c>
      <c r="AG5" t="s">
        <v>159</v>
      </c>
      <c r="AH5" t="s">
        <v>138</v>
      </c>
      <c r="AI5" t="s">
        <v>160</v>
      </c>
      <c r="AJ5" t="s">
        <v>161</v>
      </c>
      <c r="AK5" t="s">
        <v>162</v>
      </c>
      <c r="AL5" t="s">
        <v>163</v>
      </c>
      <c r="AM5" t="s">
        <v>164</v>
      </c>
      <c r="AN5" t="s">
        <v>165</v>
      </c>
      <c r="AO5" t="s">
        <v>166</v>
      </c>
      <c r="AP5" t="s">
        <v>167</v>
      </c>
      <c r="AQ5" t="s">
        <v>168</v>
      </c>
      <c r="AR5" t="s">
        <v>169</v>
      </c>
    </row>
    <row r="6" spans="1:44" x14ac:dyDescent="0.3">
      <c r="A6" s="81" t="s">
        <v>170</v>
      </c>
      <c r="B6" t="s">
        <v>171</v>
      </c>
      <c r="C6" t="s">
        <v>172</v>
      </c>
      <c r="D6" t="s">
        <v>173</v>
      </c>
      <c r="E6" t="s">
        <v>174</v>
      </c>
      <c r="F6" t="s">
        <v>175</v>
      </c>
      <c r="G6" t="s">
        <v>176</v>
      </c>
      <c r="H6" t="s">
        <v>177</v>
      </c>
      <c r="I6" t="s">
        <v>178</v>
      </c>
      <c r="J6" t="s">
        <v>179</v>
      </c>
      <c r="K6" t="s">
        <v>180</v>
      </c>
      <c r="L6" t="s">
        <v>181</v>
      </c>
      <c r="M6" t="s">
        <v>182</v>
      </c>
      <c r="N6" t="s">
        <v>2558</v>
      </c>
      <c r="O6" t="s">
        <v>183</v>
      </c>
      <c r="P6" t="s">
        <v>184</v>
      </c>
      <c r="Q6" t="s">
        <v>185</v>
      </c>
      <c r="R6" t="s">
        <v>186</v>
      </c>
      <c r="S6" t="s">
        <v>187</v>
      </c>
      <c r="T6" t="s">
        <v>188</v>
      </c>
      <c r="U6" t="s">
        <v>189</v>
      </c>
      <c r="V6" t="s">
        <v>190</v>
      </c>
      <c r="W6" t="s">
        <v>191</v>
      </c>
      <c r="X6" t="s">
        <v>192</v>
      </c>
      <c r="Y6" t="s">
        <v>193</v>
      </c>
      <c r="Z6" t="s">
        <v>194</v>
      </c>
      <c r="AA6" t="s">
        <v>195</v>
      </c>
      <c r="AB6" t="s">
        <v>181</v>
      </c>
      <c r="AC6" t="s">
        <v>196</v>
      </c>
      <c r="AD6" t="s">
        <v>197</v>
      </c>
      <c r="AE6" t="s">
        <v>198</v>
      </c>
      <c r="AF6" t="s">
        <v>181</v>
      </c>
      <c r="AG6" t="s">
        <v>199</v>
      </c>
      <c r="AH6" t="s">
        <v>179</v>
      </c>
      <c r="AI6" t="s">
        <v>180</v>
      </c>
      <c r="AJ6" t="s">
        <v>200</v>
      </c>
      <c r="AK6" t="s">
        <v>201</v>
      </c>
      <c r="AL6" t="s">
        <v>202</v>
      </c>
      <c r="AM6" t="s">
        <v>203</v>
      </c>
      <c r="AN6" t="s">
        <v>204</v>
      </c>
      <c r="AO6" t="s">
        <v>205</v>
      </c>
      <c r="AP6" t="s">
        <v>206</v>
      </c>
      <c r="AQ6" t="s">
        <v>207</v>
      </c>
      <c r="AR6" t="s">
        <v>208</v>
      </c>
    </row>
    <row r="7" spans="1:44" x14ac:dyDescent="0.3">
      <c r="A7" s="81" t="s">
        <v>209</v>
      </c>
      <c r="B7" t="s">
        <v>210</v>
      </c>
      <c r="C7" t="s">
        <v>211</v>
      </c>
      <c r="D7" t="s">
        <v>212</v>
      </c>
      <c r="E7" t="s">
        <v>213</v>
      </c>
      <c r="F7" t="s">
        <v>214</v>
      </c>
      <c r="G7" t="s">
        <v>215</v>
      </c>
      <c r="H7" t="s">
        <v>216</v>
      </c>
      <c r="I7" t="s">
        <v>217</v>
      </c>
      <c r="J7" t="s">
        <v>218</v>
      </c>
      <c r="K7" t="s">
        <v>219</v>
      </c>
      <c r="L7" t="s">
        <v>220</v>
      </c>
      <c r="M7" t="s">
        <v>221</v>
      </c>
      <c r="N7" t="s">
        <v>2559</v>
      </c>
      <c r="O7" t="s">
        <v>222</v>
      </c>
      <c r="P7" t="s">
        <v>223</v>
      </c>
      <c r="Q7" t="s">
        <v>224</v>
      </c>
      <c r="R7" t="s">
        <v>225</v>
      </c>
      <c r="S7" t="s">
        <v>226</v>
      </c>
      <c r="T7" t="s">
        <v>227</v>
      </c>
      <c r="U7" t="s">
        <v>228</v>
      </c>
      <c r="V7" t="s">
        <v>229</v>
      </c>
      <c r="W7" t="s">
        <v>230</v>
      </c>
      <c r="X7" t="s">
        <v>231</v>
      </c>
      <c r="Y7" t="s">
        <v>232</v>
      </c>
      <c r="Z7" t="s">
        <v>233</v>
      </c>
      <c r="AA7" t="s">
        <v>234</v>
      </c>
      <c r="AB7" t="s">
        <v>235</v>
      </c>
      <c r="AC7" t="s">
        <v>236</v>
      </c>
      <c r="AD7" t="s">
        <v>237</v>
      </c>
      <c r="AE7" t="s">
        <v>238</v>
      </c>
      <c r="AF7" t="s">
        <v>239</v>
      </c>
      <c r="AG7" t="s">
        <v>240</v>
      </c>
      <c r="AH7" t="s">
        <v>218</v>
      </c>
      <c r="AI7" t="s">
        <v>241</v>
      </c>
      <c r="AJ7" t="s">
        <v>242</v>
      </c>
      <c r="AK7" t="s">
        <v>243</v>
      </c>
      <c r="AL7" t="s">
        <v>244</v>
      </c>
      <c r="AM7" t="s">
        <v>245</v>
      </c>
      <c r="AN7" t="s">
        <v>246</v>
      </c>
      <c r="AO7" t="s">
        <v>247</v>
      </c>
      <c r="AP7" t="s">
        <v>248</v>
      </c>
      <c r="AQ7" t="s">
        <v>249</v>
      </c>
      <c r="AR7" t="s">
        <v>250</v>
      </c>
    </row>
    <row r="8" spans="1:44" x14ac:dyDescent="0.3">
      <c r="A8" s="81" t="s">
        <v>251</v>
      </c>
      <c r="B8" t="s">
        <v>252</v>
      </c>
      <c r="C8" t="s">
        <v>253</v>
      </c>
      <c r="D8" t="s">
        <v>254</v>
      </c>
      <c r="E8" t="s">
        <v>251</v>
      </c>
      <c r="F8" t="s">
        <v>255</v>
      </c>
      <c r="G8" t="s">
        <v>251</v>
      </c>
      <c r="H8" t="s">
        <v>256</v>
      </c>
      <c r="I8" t="s">
        <v>257</v>
      </c>
      <c r="J8" t="s">
        <v>258</v>
      </c>
      <c r="K8" t="s">
        <v>259</v>
      </c>
      <c r="L8" t="s">
        <v>258</v>
      </c>
      <c r="M8" t="s">
        <v>258</v>
      </c>
      <c r="N8" t="s">
        <v>2560</v>
      </c>
      <c r="O8" t="s">
        <v>258</v>
      </c>
      <c r="P8" t="s">
        <v>260</v>
      </c>
      <c r="Q8" t="s">
        <v>258</v>
      </c>
      <c r="R8" t="s">
        <v>261</v>
      </c>
      <c r="S8" t="s">
        <v>262</v>
      </c>
      <c r="T8" t="s">
        <v>263</v>
      </c>
      <c r="U8" t="s">
        <v>251</v>
      </c>
      <c r="V8" t="s">
        <v>264</v>
      </c>
      <c r="W8" t="s">
        <v>258</v>
      </c>
      <c r="X8" t="s">
        <v>265</v>
      </c>
      <c r="Y8" t="s">
        <v>266</v>
      </c>
      <c r="Z8" t="s">
        <v>267</v>
      </c>
      <c r="AA8" t="s">
        <v>268</v>
      </c>
      <c r="AB8" t="s">
        <v>258</v>
      </c>
      <c r="AC8" t="s">
        <v>269</v>
      </c>
      <c r="AD8" t="s">
        <v>270</v>
      </c>
      <c r="AE8" t="s">
        <v>251</v>
      </c>
      <c r="AF8" t="s">
        <v>271</v>
      </c>
      <c r="AG8" t="s">
        <v>255</v>
      </c>
      <c r="AH8" t="s">
        <v>258</v>
      </c>
      <c r="AI8" t="s">
        <v>259</v>
      </c>
      <c r="AJ8" t="s">
        <v>258</v>
      </c>
      <c r="AK8" t="s">
        <v>251</v>
      </c>
      <c r="AL8" t="s">
        <v>251</v>
      </c>
      <c r="AM8" t="s">
        <v>272</v>
      </c>
      <c r="AN8" t="s">
        <v>251</v>
      </c>
      <c r="AO8" t="s">
        <v>273</v>
      </c>
      <c r="AP8" t="s">
        <v>274</v>
      </c>
      <c r="AQ8" t="s">
        <v>275</v>
      </c>
      <c r="AR8" t="s">
        <v>255</v>
      </c>
    </row>
    <row r="9" spans="1:44" x14ac:dyDescent="0.3">
      <c r="A9" s="81" t="s">
        <v>276</v>
      </c>
      <c r="B9" t="s">
        <v>277</v>
      </c>
      <c r="C9" t="s">
        <v>278</v>
      </c>
      <c r="D9" t="s">
        <v>279</v>
      </c>
      <c r="E9" t="s">
        <v>280</v>
      </c>
      <c r="F9" t="s">
        <v>281</v>
      </c>
      <c r="G9" t="s">
        <v>282</v>
      </c>
      <c r="H9" t="s">
        <v>283</v>
      </c>
      <c r="I9" t="s">
        <v>284</v>
      </c>
      <c r="J9" t="s">
        <v>285</v>
      </c>
      <c r="K9" t="s">
        <v>286</v>
      </c>
      <c r="L9" t="s">
        <v>287</v>
      </c>
      <c r="M9" t="s">
        <v>288</v>
      </c>
      <c r="N9" t="s">
        <v>2561</v>
      </c>
      <c r="O9" t="s">
        <v>289</v>
      </c>
      <c r="P9" t="s">
        <v>290</v>
      </c>
      <c r="Q9" t="s">
        <v>287</v>
      </c>
      <c r="R9" t="s">
        <v>291</v>
      </c>
      <c r="S9" t="s">
        <v>292</v>
      </c>
      <c r="T9" t="s">
        <v>293</v>
      </c>
      <c r="U9" t="s">
        <v>294</v>
      </c>
      <c r="V9" t="s">
        <v>295</v>
      </c>
      <c r="W9" t="s">
        <v>296</v>
      </c>
      <c r="X9" t="s">
        <v>297</v>
      </c>
      <c r="Y9" t="s">
        <v>298</v>
      </c>
      <c r="Z9" t="s">
        <v>281</v>
      </c>
      <c r="AA9" t="s">
        <v>299</v>
      </c>
      <c r="AB9" t="s">
        <v>287</v>
      </c>
      <c r="AC9" t="s">
        <v>300</v>
      </c>
      <c r="AD9" t="s">
        <v>285</v>
      </c>
      <c r="AE9" t="s">
        <v>301</v>
      </c>
      <c r="AF9" t="s">
        <v>285</v>
      </c>
      <c r="AG9" t="s">
        <v>302</v>
      </c>
      <c r="AH9" t="s">
        <v>285</v>
      </c>
      <c r="AI9" t="s">
        <v>286</v>
      </c>
      <c r="AJ9" t="s">
        <v>286</v>
      </c>
      <c r="AK9" t="s">
        <v>301</v>
      </c>
      <c r="AL9" t="s">
        <v>299</v>
      </c>
      <c r="AM9" t="s">
        <v>303</v>
      </c>
      <c r="AN9" t="s">
        <v>282</v>
      </c>
      <c r="AO9" t="s">
        <v>304</v>
      </c>
      <c r="AP9" t="s">
        <v>281</v>
      </c>
      <c r="AQ9" t="s">
        <v>84</v>
      </c>
      <c r="AR9" t="s">
        <v>305</v>
      </c>
    </row>
    <row r="10" spans="1:44" x14ac:dyDescent="0.3">
      <c r="A10" s="81" t="s">
        <v>306</v>
      </c>
      <c r="B10" t="s">
        <v>307</v>
      </c>
      <c r="C10" t="s">
        <v>308</v>
      </c>
      <c r="D10" t="s">
        <v>309</v>
      </c>
      <c r="E10" t="s">
        <v>310</v>
      </c>
      <c r="F10" t="s">
        <v>311</v>
      </c>
      <c r="G10" t="s">
        <v>312</v>
      </c>
      <c r="H10" t="s">
        <v>313</v>
      </c>
      <c r="I10" t="s">
        <v>314</v>
      </c>
      <c r="J10" t="s">
        <v>306</v>
      </c>
      <c r="K10" t="s">
        <v>315</v>
      </c>
      <c r="L10" t="s">
        <v>316</v>
      </c>
      <c r="M10" t="s">
        <v>317</v>
      </c>
      <c r="N10" t="s">
        <v>316</v>
      </c>
      <c r="O10" t="s">
        <v>312</v>
      </c>
      <c r="P10" t="s">
        <v>318</v>
      </c>
      <c r="Q10" t="s">
        <v>316</v>
      </c>
      <c r="R10" t="s">
        <v>319</v>
      </c>
      <c r="S10" t="s">
        <v>320</v>
      </c>
      <c r="T10" t="s">
        <v>321</v>
      </c>
      <c r="U10" t="s">
        <v>322</v>
      </c>
      <c r="V10" t="s">
        <v>307</v>
      </c>
      <c r="W10" t="s">
        <v>323</v>
      </c>
      <c r="X10" t="s">
        <v>324</v>
      </c>
      <c r="Y10" t="s">
        <v>325</v>
      </c>
      <c r="Z10" t="s">
        <v>326</v>
      </c>
      <c r="AA10" t="s">
        <v>307</v>
      </c>
      <c r="AB10" t="s">
        <v>327</v>
      </c>
      <c r="AC10" t="s">
        <v>328</v>
      </c>
      <c r="AD10" t="s">
        <v>321</v>
      </c>
      <c r="AE10" t="s">
        <v>312</v>
      </c>
      <c r="AF10" t="s">
        <v>312</v>
      </c>
      <c r="AG10" t="s">
        <v>329</v>
      </c>
      <c r="AH10" t="s">
        <v>330</v>
      </c>
      <c r="AI10" t="s">
        <v>315</v>
      </c>
      <c r="AJ10" t="s">
        <v>306</v>
      </c>
      <c r="AK10" t="s">
        <v>312</v>
      </c>
      <c r="AL10" t="s">
        <v>331</v>
      </c>
      <c r="AM10" t="s">
        <v>332</v>
      </c>
      <c r="AN10" t="s">
        <v>310</v>
      </c>
      <c r="AO10" t="s">
        <v>333</v>
      </c>
      <c r="AP10" t="s">
        <v>334</v>
      </c>
      <c r="AQ10" t="s">
        <v>335</v>
      </c>
      <c r="AR10" t="s">
        <v>336</v>
      </c>
    </row>
    <row r="11" spans="1:44" x14ac:dyDescent="0.3">
      <c r="A11" s="81" t="s">
        <v>337</v>
      </c>
      <c r="B11" t="s">
        <v>338</v>
      </c>
      <c r="C11" t="s">
        <v>339</v>
      </c>
      <c r="D11" t="s">
        <v>340</v>
      </c>
      <c r="E11" t="s">
        <v>341</v>
      </c>
      <c r="F11" t="s">
        <v>342</v>
      </c>
      <c r="G11" t="s">
        <v>323</v>
      </c>
      <c r="H11" t="s">
        <v>343</v>
      </c>
      <c r="I11" t="s">
        <v>344</v>
      </c>
      <c r="J11" t="s">
        <v>337</v>
      </c>
      <c r="K11" t="s">
        <v>345</v>
      </c>
      <c r="L11" t="s">
        <v>345</v>
      </c>
      <c r="M11" t="s">
        <v>337</v>
      </c>
      <c r="N11" t="s">
        <v>345</v>
      </c>
      <c r="O11" t="s">
        <v>345</v>
      </c>
      <c r="P11" t="s">
        <v>346</v>
      </c>
      <c r="Q11" t="s">
        <v>327</v>
      </c>
      <c r="R11" t="s">
        <v>347</v>
      </c>
      <c r="S11" t="s">
        <v>348</v>
      </c>
      <c r="T11" t="s">
        <v>349</v>
      </c>
      <c r="U11" t="s">
        <v>350</v>
      </c>
      <c r="V11" t="s">
        <v>351</v>
      </c>
      <c r="W11" t="s">
        <v>345</v>
      </c>
      <c r="X11" t="s">
        <v>352</v>
      </c>
      <c r="Y11" t="s">
        <v>307</v>
      </c>
      <c r="Z11" t="s">
        <v>342</v>
      </c>
      <c r="AA11" t="s">
        <v>353</v>
      </c>
      <c r="AB11" t="s">
        <v>345</v>
      </c>
      <c r="AC11" t="s">
        <v>354</v>
      </c>
      <c r="AD11" t="s">
        <v>315</v>
      </c>
      <c r="AE11" t="s">
        <v>345</v>
      </c>
      <c r="AF11" t="s">
        <v>345</v>
      </c>
      <c r="AG11" t="s">
        <v>355</v>
      </c>
      <c r="AH11" t="s">
        <v>356</v>
      </c>
      <c r="AI11" t="s">
        <v>345</v>
      </c>
      <c r="AJ11" t="s">
        <v>337</v>
      </c>
      <c r="AK11" t="s">
        <v>323</v>
      </c>
      <c r="AL11" t="s">
        <v>345</v>
      </c>
      <c r="AM11" t="s">
        <v>357</v>
      </c>
      <c r="AN11" t="s">
        <v>323</v>
      </c>
      <c r="AO11" t="s">
        <v>358</v>
      </c>
      <c r="AP11" t="s">
        <v>355</v>
      </c>
      <c r="AQ11" t="s">
        <v>359</v>
      </c>
      <c r="AR11" t="s">
        <v>360</v>
      </c>
    </row>
    <row r="12" spans="1:44" x14ac:dyDescent="0.3">
      <c r="A12" s="81" t="s">
        <v>361</v>
      </c>
      <c r="B12" t="s">
        <v>362</v>
      </c>
      <c r="C12" t="s">
        <v>363</v>
      </c>
      <c r="D12" t="s">
        <v>364</v>
      </c>
      <c r="E12" t="s">
        <v>365</v>
      </c>
      <c r="F12" t="s">
        <v>366</v>
      </c>
      <c r="G12" t="s">
        <v>367</v>
      </c>
      <c r="H12" t="s">
        <v>368</v>
      </c>
      <c r="I12" t="s">
        <v>369</v>
      </c>
      <c r="J12" t="s">
        <v>361</v>
      </c>
      <c r="K12" t="s">
        <v>353</v>
      </c>
      <c r="L12" t="s">
        <v>370</v>
      </c>
      <c r="M12" t="s">
        <v>323</v>
      </c>
      <c r="N12" t="s">
        <v>312</v>
      </c>
      <c r="O12" t="s">
        <v>361</v>
      </c>
      <c r="P12" t="s">
        <v>371</v>
      </c>
      <c r="Q12" t="s">
        <v>361</v>
      </c>
      <c r="R12" t="s">
        <v>372</v>
      </c>
      <c r="S12" t="s">
        <v>373</v>
      </c>
      <c r="T12" t="s">
        <v>374</v>
      </c>
      <c r="U12" t="s">
        <v>375</v>
      </c>
      <c r="V12" t="s">
        <v>376</v>
      </c>
      <c r="W12" t="s">
        <v>356</v>
      </c>
      <c r="X12" t="s">
        <v>377</v>
      </c>
      <c r="Y12" t="s">
        <v>378</v>
      </c>
      <c r="Z12" t="s">
        <v>379</v>
      </c>
      <c r="AA12" t="s">
        <v>380</v>
      </c>
      <c r="AB12" t="s">
        <v>358</v>
      </c>
      <c r="AC12" t="s">
        <v>381</v>
      </c>
      <c r="AD12" t="s">
        <v>353</v>
      </c>
      <c r="AE12" t="s">
        <v>367</v>
      </c>
      <c r="AF12" t="s">
        <v>367</v>
      </c>
      <c r="AG12" t="s">
        <v>379</v>
      </c>
      <c r="AH12" t="s">
        <v>382</v>
      </c>
      <c r="AI12" t="s">
        <v>353</v>
      </c>
      <c r="AJ12" t="s">
        <v>361</v>
      </c>
      <c r="AK12" t="s">
        <v>361</v>
      </c>
      <c r="AL12" t="s">
        <v>310</v>
      </c>
      <c r="AM12" t="s">
        <v>383</v>
      </c>
      <c r="AN12" t="s">
        <v>384</v>
      </c>
      <c r="AO12" t="s">
        <v>365</v>
      </c>
      <c r="AP12" t="s">
        <v>379</v>
      </c>
      <c r="AQ12" t="s">
        <v>385</v>
      </c>
      <c r="AR12" t="s">
        <v>386</v>
      </c>
    </row>
    <row r="13" spans="1:44" x14ac:dyDescent="0.3">
      <c r="A13" s="81" t="s">
        <v>307</v>
      </c>
      <c r="B13" t="s">
        <v>365</v>
      </c>
      <c r="C13" t="s">
        <v>387</v>
      </c>
      <c r="D13" t="s">
        <v>388</v>
      </c>
      <c r="E13" t="s">
        <v>321</v>
      </c>
      <c r="F13" t="s">
        <v>389</v>
      </c>
      <c r="G13" t="s">
        <v>356</v>
      </c>
      <c r="H13" t="s">
        <v>390</v>
      </c>
      <c r="I13" t="s">
        <v>391</v>
      </c>
      <c r="J13" t="s">
        <v>307</v>
      </c>
      <c r="K13" t="s">
        <v>356</v>
      </c>
      <c r="L13" t="s">
        <v>358</v>
      </c>
      <c r="M13" t="s">
        <v>345</v>
      </c>
      <c r="N13" t="s">
        <v>358</v>
      </c>
      <c r="O13" t="s">
        <v>374</v>
      </c>
      <c r="P13" t="s">
        <v>392</v>
      </c>
      <c r="Q13" t="s">
        <v>393</v>
      </c>
      <c r="R13" t="s">
        <v>394</v>
      </c>
      <c r="S13" t="s">
        <v>395</v>
      </c>
      <c r="T13" t="s">
        <v>345</v>
      </c>
      <c r="U13" t="s">
        <v>396</v>
      </c>
      <c r="V13" t="s">
        <v>358</v>
      </c>
      <c r="W13" t="s">
        <v>327</v>
      </c>
      <c r="X13" t="s">
        <v>397</v>
      </c>
      <c r="Y13" t="s">
        <v>356</v>
      </c>
      <c r="Z13" t="s">
        <v>329</v>
      </c>
      <c r="AA13" t="s">
        <v>358</v>
      </c>
      <c r="AB13" t="s">
        <v>351</v>
      </c>
      <c r="AC13" t="s">
        <v>398</v>
      </c>
      <c r="AD13" t="s">
        <v>356</v>
      </c>
      <c r="AE13" t="s">
        <v>374</v>
      </c>
      <c r="AF13" t="s">
        <v>380</v>
      </c>
      <c r="AG13" t="s">
        <v>342</v>
      </c>
      <c r="AH13" t="s">
        <v>380</v>
      </c>
      <c r="AI13" t="s">
        <v>356</v>
      </c>
      <c r="AJ13" t="s">
        <v>307</v>
      </c>
      <c r="AK13" t="s">
        <v>356</v>
      </c>
      <c r="AL13" t="s">
        <v>338</v>
      </c>
      <c r="AM13" t="s">
        <v>399</v>
      </c>
      <c r="AN13" t="s">
        <v>321</v>
      </c>
      <c r="AO13" t="s">
        <v>384</v>
      </c>
      <c r="AP13" t="s">
        <v>342</v>
      </c>
      <c r="AQ13" t="s">
        <v>400</v>
      </c>
      <c r="AR13" t="s">
        <v>311</v>
      </c>
    </row>
    <row r="14" spans="1:44" x14ac:dyDescent="0.3">
      <c r="A14" s="81" t="s">
        <v>401</v>
      </c>
      <c r="B14" t="s">
        <v>402</v>
      </c>
      <c r="C14" t="s">
        <v>403</v>
      </c>
      <c r="D14" t="s">
        <v>404</v>
      </c>
      <c r="E14" t="s">
        <v>405</v>
      </c>
      <c r="F14" t="s">
        <v>406</v>
      </c>
      <c r="G14" t="s">
        <v>407</v>
      </c>
      <c r="H14" t="s">
        <v>408</v>
      </c>
      <c r="I14" t="s">
        <v>409</v>
      </c>
      <c r="J14" t="s">
        <v>401</v>
      </c>
      <c r="K14" t="s">
        <v>410</v>
      </c>
      <c r="L14" t="s">
        <v>411</v>
      </c>
      <c r="M14" t="s">
        <v>412</v>
      </c>
      <c r="N14" t="s">
        <v>411</v>
      </c>
      <c r="O14" t="s">
        <v>413</v>
      </c>
      <c r="P14" t="s">
        <v>414</v>
      </c>
      <c r="Q14" t="s">
        <v>415</v>
      </c>
      <c r="R14" t="s">
        <v>416</v>
      </c>
      <c r="S14" t="s">
        <v>417</v>
      </c>
      <c r="T14" t="s">
        <v>418</v>
      </c>
      <c r="U14" t="s">
        <v>419</v>
      </c>
      <c r="V14" t="s">
        <v>420</v>
      </c>
      <c r="W14" t="s">
        <v>421</v>
      </c>
      <c r="X14" t="s">
        <v>422</v>
      </c>
      <c r="Y14" t="s">
        <v>423</v>
      </c>
      <c r="Z14" t="s">
        <v>424</v>
      </c>
      <c r="AA14" t="s">
        <v>425</v>
      </c>
      <c r="AB14" t="s">
        <v>426</v>
      </c>
      <c r="AC14" t="s">
        <v>427</v>
      </c>
      <c r="AD14" t="s">
        <v>428</v>
      </c>
      <c r="AE14" t="s">
        <v>429</v>
      </c>
      <c r="AF14" t="s">
        <v>430</v>
      </c>
      <c r="AG14" t="s">
        <v>431</v>
      </c>
      <c r="AH14" t="s">
        <v>432</v>
      </c>
      <c r="AI14" t="s">
        <v>433</v>
      </c>
      <c r="AJ14" t="s">
        <v>401</v>
      </c>
      <c r="AK14" t="s">
        <v>407</v>
      </c>
      <c r="AL14" t="s">
        <v>434</v>
      </c>
      <c r="AM14" t="s">
        <v>435</v>
      </c>
      <c r="AN14" t="s">
        <v>436</v>
      </c>
      <c r="AO14" t="s">
        <v>437</v>
      </c>
      <c r="AP14" t="s">
        <v>438</v>
      </c>
      <c r="AQ14" t="s">
        <v>439</v>
      </c>
      <c r="AR14" t="s">
        <v>440</v>
      </c>
    </row>
    <row r="15" spans="1:44" x14ac:dyDescent="0.3">
      <c r="A15" s="81" t="s">
        <v>441</v>
      </c>
      <c r="B15" t="s">
        <v>442</v>
      </c>
      <c r="C15" t="s">
        <v>443</v>
      </c>
      <c r="D15" t="s">
        <v>444</v>
      </c>
      <c r="E15" t="s">
        <v>445</v>
      </c>
      <c r="F15" t="s">
        <v>446</v>
      </c>
      <c r="G15" t="s">
        <v>447</v>
      </c>
      <c r="H15" t="s">
        <v>448</v>
      </c>
      <c r="I15" t="s">
        <v>449</v>
      </c>
      <c r="J15" t="s">
        <v>441</v>
      </c>
      <c r="K15" t="s">
        <v>450</v>
      </c>
      <c r="L15" t="s">
        <v>441</v>
      </c>
      <c r="M15" t="s">
        <v>441</v>
      </c>
      <c r="N15" t="s">
        <v>457</v>
      </c>
      <c r="O15" t="s">
        <v>451</v>
      </c>
      <c r="P15" t="s">
        <v>452</v>
      </c>
      <c r="Q15" t="s">
        <v>453</v>
      </c>
      <c r="R15" t="s">
        <v>454</v>
      </c>
      <c r="S15" t="s">
        <v>455</v>
      </c>
      <c r="T15" t="s">
        <v>441</v>
      </c>
      <c r="U15" t="s">
        <v>456</v>
      </c>
      <c r="V15" t="s">
        <v>457</v>
      </c>
      <c r="W15" t="s">
        <v>458</v>
      </c>
      <c r="X15" t="s">
        <v>459</v>
      </c>
      <c r="Y15" t="s">
        <v>460</v>
      </c>
      <c r="Z15" t="s">
        <v>461</v>
      </c>
      <c r="AA15" t="s">
        <v>356</v>
      </c>
      <c r="AB15" t="s">
        <v>356</v>
      </c>
      <c r="AC15" t="s">
        <v>462</v>
      </c>
      <c r="AD15" t="s">
        <v>463</v>
      </c>
      <c r="AE15" t="s">
        <v>356</v>
      </c>
      <c r="AF15" t="s">
        <v>356</v>
      </c>
      <c r="AG15" t="s">
        <v>464</v>
      </c>
      <c r="AH15" t="s">
        <v>465</v>
      </c>
      <c r="AI15" t="s">
        <v>450</v>
      </c>
      <c r="AJ15" t="s">
        <v>441</v>
      </c>
      <c r="AK15" t="s">
        <v>451</v>
      </c>
      <c r="AL15" t="s">
        <v>356</v>
      </c>
      <c r="AM15" t="s">
        <v>466</v>
      </c>
      <c r="AN15" t="s">
        <v>356</v>
      </c>
      <c r="AO15" t="s">
        <v>467</v>
      </c>
      <c r="AP15" t="s">
        <v>326</v>
      </c>
      <c r="AQ15" t="s">
        <v>468</v>
      </c>
      <c r="AR15" t="s">
        <v>469</v>
      </c>
    </row>
    <row r="18" spans="1:44" x14ac:dyDescent="0.3">
      <c r="A18" s="81" t="s">
        <v>470</v>
      </c>
      <c r="B18" t="s">
        <v>471</v>
      </c>
      <c r="C18" t="s">
        <v>472</v>
      </c>
      <c r="D18" t="s">
        <v>473</v>
      </c>
      <c r="E18" t="s">
        <v>384</v>
      </c>
      <c r="F18" t="s">
        <v>474</v>
      </c>
      <c r="G18" t="s">
        <v>475</v>
      </c>
      <c r="H18" t="s">
        <v>476</v>
      </c>
      <c r="I18" t="s">
        <v>470</v>
      </c>
      <c r="J18" t="s">
        <v>477</v>
      </c>
      <c r="K18" t="s">
        <v>478</v>
      </c>
      <c r="L18" t="s">
        <v>479</v>
      </c>
      <c r="M18" t="s">
        <v>480</v>
      </c>
      <c r="N18" t="s">
        <v>470</v>
      </c>
      <c r="O18" t="s">
        <v>470</v>
      </c>
      <c r="P18" t="s">
        <v>481</v>
      </c>
      <c r="Q18" t="s">
        <v>470</v>
      </c>
      <c r="R18" t="s">
        <v>482</v>
      </c>
      <c r="S18" t="s">
        <v>483</v>
      </c>
      <c r="T18" t="s">
        <v>484</v>
      </c>
      <c r="U18" t="s">
        <v>485</v>
      </c>
      <c r="V18" t="s">
        <v>470</v>
      </c>
      <c r="W18" t="s">
        <v>486</v>
      </c>
      <c r="X18" t="s">
        <v>487</v>
      </c>
      <c r="Y18" t="s">
        <v>488</v>
      </c>
      <c r="Z18" t="s">
        <v>474</v>
      </c>
      <c r="AA18" t="s">
        <v>489</v>
      </c>
      <c r="AB18" t="s">
        <v>479</v>
      </c>
      <c r="AC18" t="s">
        <v>490</v>
      </c>
      <c r="AD18" t="s">
        <v>491</v>
      </c>
      <c r="AE18" t="s">
        <v>486</v>
      </c>
      <c r="AF18" t="s">
        <v>492</v>
      </c>
      <c r="AG18" t="s">
        <v>493</v>
      </c>
      <c r="AH18" t="s">
        <v>477</v>
      </c>
      <c r="AI18" t="s">
        <v>478</v>
      </c>
      <c r="AJ18" t="s">
        <v>477</v>
      </c>
      <c r="AK18" t="s">
        <v>470</v>
      </c>
      <c r="AL18" t="s">
        <v>494</v>
      </c>
      <c r="AM18" t="s">
        <v>495</v>
      </c>
      <c r="AN18" t="s">
        <v>496</v>
      </c>
      <c r="AO18" t="s">
        <v>497</v>
      </c>
      <c r="AP18" t="s">
        <v>498</v>
      </c>
      <c r="AQ18" t="s">
        <v>499</v>
      </c>
      <c r="AR18" t="s">
        <v>500</v>
      </c>
    </row>
    <row r="19" spans="1:44" x14ac:dyDescent="0.3">
      <c r="A19" s="81" t="s">
        <v>501</v>
      </c>
      <c r="B19" t="s">
        <v>502</v>
      </c>
      <c r="C19" t="s">
        <v>503</v>
      </c>
      <c r="D19" t="s">
        <v>504</v>
      </c>
      <c r="E19" t="s">
        <v>505</v>
      </c>
      <c r="F19" t="s">
        <v>506</v>
      </c>
      <c r="G19" t="s">
        <v>507</v>
      </c>
      <c r="H19" t="s">
        <v>508</v>
      </c>
      <c r="I19" t="s">
        <v>501</v>
      </c>
      <c r="J19" t="s">
        <v>509</v>
      </c>
      <c r="K19" t="s">
        <v>510</v>
      </c>
      <c r="L19" t="s">
        <v>511</v>
      </c>
      <c r="M19" t="s">
        <v>512</v>
      </c>
      <c r="N19" t="s">
        <v>518</v>
      </c>
      <c r="O19" t="s">
        <v>501</v>
      </c>
      <c r="P19" t="s">
        <v>513</v>
      </c>
      <c r="Q19" t="s">
        <v>501</v>
      </c>
      <c r="R19" t="s">
        <v>514</v>
      </c>
      <c r="S19" t="s">
        <v>515</v>
      </c>
      <c r="T19" t="s">
        <v>516</v>
      </c>
      <c r="U19" t="s">
        <v>517</v>
      </c>
      <c r="V19" t="s">
        <v>518</v>
      </c>
      <c r="W19" t="s">
        <v>519</v>
      </c>
      <c r="X19" t="s">
        <v>520</v>
      </c>
      <c r="Y19" t="s">
        <v>521</v>
      </c>
      <c r="Z19" t="s">
        <v>506</v>
      </c>
      <c r="AA19" t="s">
        <v>522</v>
      </c>
      <c r="AB19" t="s">
        <v>511</v>
      </c>
      <c r="AC19" t="s">
        <v>523</v>
      </c>
      <c r="AD19" t="s">
        <v>524</v>
      </c>
      <c r="AE19" t="s">
        <v>525</v>
      </c>
      <c r="AF19" t="s">
        <v>519</v>
      </c>
      <c r="AG19" t="s">
        <v>526</v>
      </c>
      <c r="AH19" t="s">
        <v>509</v>
      </c>
      <c r="AI19" t="s">
        <v>510</v>
      </c>
      <c r="AJ19" t="s">
        <v>509</v>
      </c>
      <c r="AK19" t="s">
        <v>501</v>
      </c>
      <c r="AL19" t="s">
        <v>527</v>
      </c>
      <c r="AM19" t="s">
        <v>528</v>
      </c>
      <c r="AN19" t="s">
        <v>529</v>
      </c>
      <c r="AO19" t="s">
        <v>530</v>
      </c>
      <c r="AP19" t="s">
        <v>526</v>
      </c>
      <c r="AQ19" t="s">
        <v>531</v>
      </c>
      <c r="AR19" t="s">
        <v>532</v>
      </c>
    </row>
    <row r="20" spans="1:44" x14ac:dyDescent="0.3">
      <c r="A20" s="81" t="s">
        <v>533</v>
      </c>
      <c r="B20" t="s">
        <v>534</v>
      </c>
      <c r="C20" t="s">
        <v>535</v>
      </c>
      <c r="D20" t="s">
        <v>536</v>
      </c>
      <c r="E20" t="s">
        <v>537</v>
      </c>
      <c r="F20" t="s">
        <v>538</v>
      </c>
      <c r="G20" t="s">
        <v>539</v>
      </c>
      <c r="H20" t="s">
        <v>540</v>
      </c>
      <c r="I20" t="s">
        <v>533</v>
      </c>
      <c r="J20" t="s">
        <v>541</v>
      </c>
      <c r="K20" t="s">
        <v>542</v>
      </c>
      <c r="L20" t="s">
        <v>543</v>
      </c>
      <c r="M20" t="s">
        <v>544</v>
      </c>
      <c r="N20" t="s">
        <v>2562</v>
      </c>
      <c r="O20" t="s">
        <v>533</v>
      </c>
      <c r="P20" t="s">
        <v>545</v>
      </c>
      <c r="Q20" t="s">
        <v>533</v>
      </c>
      <c r="R20" t="s">
        <v>546</v>
      </c>
      <c r="S20" t="s">
        <v>547</v>
      </c>
      <c r="T20" t="s">
        <v>548</v>
      </c>
      <c r="U20" t="s">
        <v>549</v>
      </c>
      <c r="V20" t="s">
        <v>550</v>
      </c>
      <c r="W20" t="s">
        <v>534</v>
      </c>
      <c r="X20" t="s">
        <v>551</v>
      </c>
      <c r="Y20" t="s">
        <v>552</v>
      </c>
      <c r="Z20" t="s">
        <v>553</v>
      </c>
      <c r="AA20" t="s">
        <v>554</v>
      </c>
      <c r="AB20" t="s">
        <v>555</v>
      </c>
      <c r="AC20" t="s">
        <v>556</v>
      </c>
      <c r="AD20" t="s">
        <v>557</v>
      </c>
      <c r="AE20" t="s">
        <v>558</v>
      </c>
      <c r="AF20" t="s">
        <v>534</v>
      </c>
      <c r="AG20" t="s">
        <v>538</v>
      </c>
      <c r="AH20" t="s">
        <v>541</v>
      </c>
      <c r="AI20" t="s">
        <v>559</v>
      </c>
      <c r="AJ20" t="s">
        <v>560</v>
      </c>
      <c r="AK20" t="s">
        <v>533</v>
      </c>
      <c r="AL20" t="s">
        <v>561</v>
      </c>
      <c r="AM20" t="s">
        <v>562</v>
      </c>
      <c r="AN20" t="s">
        <v>563</v>
      </c>
      <c r="AO20" t="s">
        <v>564</v>
      </c>
      <c r="AP20" t="s">
        <v>538</v>
      </c>
      <c r="AQ20" t="s">
        <v>565</v>
      </c>
      <c r="AR20" t="s">
        <v>566</v>
      </c>
    </row>
    <row r="21" spans="1:44" x14ac:dyDescent="0.3">
      <c r="A21" s="81" t="s">
        <v>567</v>
      </c>
      <c r="B21" t="s">
        <v>568</v>
      </c>
      <c r="C21" t="s">
        <v>569</v>
      </c>
      <c r="D21" t="s">
        <v>570</v>
      </c>
      <c r="E21" t="s">
        <v>571</v>
      </c>
      <c r="F21" t="s">
        <v>572</v>
      </c>
      <c r="G21" t="s">
        <v>573</v>
      </c>
      <c r="H21" t="s">
        <v>574</v>
      </c>
      <c r="I21" t="s">
        <v>567</v>
      </c>
      <c r="J21" t="s">
        <v>575</v>
      </c>
      <c r="K21" t="s">
        <v>576</v>
      </c>
      <c r="L21" t="s">
        <v>577</v>
      </c>
      <c r="M21" t="s">
        <v>578</v>
      </c>
      <c r="N21" t="s">
        <v>2563</v>
      </c>
      <c r="O21" t="s">
        <v>567</v>
      </c>
      <c r="P21" t="s">
        <v>579</v>
      </c>
      <c r="Q21" t="s">
        <v>567</v>
      </c>
      <c r="R21" t="s">
        <v>580</v>
      </c>
      <c r="S21" t="s">
        <v>581</v>
      </c>
      <c r="T21" t="s">
        <v>582</v>
      </c>
      <c r="U21" t="s">
        <v>583</v>
      </c>
      <c r="V21" t="s">
        <v>584</v>
      </c>
      <c r="W21" t="s">
        <v>585</v>
      </c>
      <c r="X21" t="s">
        <v>586</v>
      </c>
      <c r="Y21" t="s">
        <v>587</v>
      </c>
      <c r="Z21" t="s">
        <v>588</v>
      </c>
      <c r="AA21" t="s">
        <v>589</v>
      </c>
      <c r="AB21" t="s">
        <v>577</v>
      </c>
      <c r="AC21" t="s">
        <v>590</v>
      </c>
      <c r="AD21" t="s">
        <v>591</v>
      </c>
      <c r="AE21" t="s">
        <v>592</v>
      </c>
      <c r="AF21" t="s">
        <v>593</v>
      </c>
      <c r="AG21" t="s">
        <v>594</v>
      </c>
      <c r="AH21" t="s">
        <v>595</v>
      </c>
      <c r="AI21" t="s">
        <v>576</v>
      </c>
      <c r="AJ21" t="s">
        <v>595</v>
      </c>
      <c r="AK21" t="s">
        <v>567</v>
      </c>
      <c r="AL21" t="s">
        <v>577</v>
      </c>
      <c r="AM21" t="s">
        <v>596</v>
      </c>
      <c r="AN21" t="s">
        <v>597</v>
      </c>
      <c r="AO21" t="s">
        <v>598</v>
      </c>
      <c r="AP21" t="s">
        <v>594</v>
      </c>
      <c r="AQ21" t="s">
        <v>599</v>
      </c>
      <c r="AR21" t="s">
        <v>600</v>
      </c>
    </row>
    <row r="22" spans="1:44" x14ac:dyDescent="0.3">
      <c r="A22" s="81" t="s">
        <v>601</v>
      </c>
      <c r="B22" t="s">
        <v>602</v>
      </c>
      <c r="C22" t="s">
        <v>603</v>
      </c>
      <c r="D22" t="s">
        <v>604</v>
      </c>
      <c r="E22" t="s">
        <v>605</v>
      </c>
      <c r="F22" t="s">
        <v>606</v>
      </c>
      <c r="G22" t="s">
        <v>607</v>
      </c>
      <c r="H22" t="s">
        <v>608</v>
      </c>
      <c r="I22" t="s">
        <v>601</v>
      </c>
      <c r="J22" t="s">
        <v>609</v>
      </c>
      <c r="K22" t="s">
        <v>610</v>
      </c>
      <c r="L22" t="s">
        <v>560</v>
      </c>
      <c r="M22" t="s">
        <v>611</v>
      </c>
      <c r="N22" t="s">
        <v>2564</v>
      </c>
      <c r="O22" t="s">
        <v>601</v>
      </c>
      <c r="P22" t="s">
        <v>612</v>
      </c>
      <c r="Q22" t="s">
        <v>601</v>
      </c>
      <c r="R22" t="s">
        <v>613</v>
      </c>
      <c r="S22" t="s">
        <v>614</v>
      </c>
      <c r="T22" t="s">
        <v>615</v>
      </c>
      <c r="U22" t="s">
        <v>616</v>
      </c>
      <c r="V22" t="s">
        <v>617</v>
      </c>
      <c r="W22" t="s">
        <v>618</v>
      </c>
      <c r="X22" t="s">
        <v>619</v>
      </c>
      <c r="Y22" t="s">
        <v>620</v>
      </c>
      <c r="Z22" t="s">
        <v>621</v>
      </c>
      <c r="AA22" t="s">
        <v>622</v>
      </c>
      <c r="AB22" t="s">
        <v>623</v>
      </c>
      <c r="AC22" t="s">
        <v>624</v>
      </c>
      <c r="AD22" t="s">
        <v>625</v>
      </c>
      <c r="AE22" t="s">
        <v>626</v>
      </c>
      <c r="AF22" t="s">
        <v>627</v>
      </c>
      <c r="AG22" t="s">
        <v>628</v>
      </c>
      <c r="AH22" t="s">
        <v>609</v>
      </c>
      <c r="AI22" t="s">
        <v>629</v>
      </c>
      <c r="AJ22" t="s">
        <v>609</v>
      </c>
      <c r="AK22" t="s">
        <v>601</v>
      </c>
      <c r="AL22" t="s">
        <v>560</v>
      </c>
      <c r="AM22" t="s">
        <v>630</v>
      </c>
      <c r="AN22" t="s">
        <v>631</v>
      </c>
      <c r="AO22" t="s">
        <v>632</v>
      </c>
      <c r="AP22" t="s">
        <v>628</v>
      </c>
      <c r="AQ22" t="s">
        <v>633</v>
      </c>
      <c r="AR22" t="s">
        <v>634</v>
      </c>
    </row>
    <row r="23" spans="1:44" x14ac:dyDescent="0.3">
      <c r="A23" s="81" t="s">
        <v>635</v>
      </c>
      <c r="B23" t="s">
        <v>636</v>
      </c>
      <c r="C23" t="s">
        <v>637</v>
      </c>
      <c r="D23" t="s">
        <v>638</v>
      </c>
      <c r="E23" t="s">
        <v>639</v>
      </c>
      <c r="F23" t="s">
        <v>640</v>
      </c>
      <c r="G23" t="s">
        <v>641</v>
      </c>
      <c r="H23" t="s">
        <v>642</v>
      </c>
      <c r="I23" t="s">
        <v>635</v>
      </c>
      <c r="J23" t="s">
        <v>643</v>
      </c>
      <c r="K23" t="s">
        <v>644</v>
      </c>
      <c r="L23" t="s">
        <v>645</v>
      </c>
      <c r="M23" t="s">
        <v>646</v>
      </c>
      <c r="N23" t="s">
        <v>2565</v>
      </c>
      <c r="O23" t="s">
        <v>635</v>
      </c>
      <c r="P23" t="s">
        <v>647</v>
      </c>
      <c r="Q23" t="s">
        <v>635</v>
      </c>
      <c r="R23" t="s">
        <v>648</v>
      </c>
      <c r="S23" t="s">
        <v>649</v>
      </c>
      <c r="T23" t="s">
        <v>650</v>
      </c>
      <c r="U23" t="s">
        <v>651</v>
      </c>
      <c r="V23" t="s">
        <v>652</v>
      </c>
      <c r="W23" t="s">
        <v>653</v>
      </c>
      <c r="X23" t="s">
        <v>654</v>
      </c>
      <c r="Y23" t="s">
        <v>655</v>
      </c>
      <c r="Z23" t="s">
        <v>640</v>
      </c>
      <c r="AA23" t="s">
        <v>656</v>
      </c>
      <c r="AB23" t="s">
        <v>645</v>
      </c>
      <c r="AC23" t="s">
        <v>657</v>
      </c>
      <c r="AD23" t="s">
        <v>658</v>
      </c>
      <c r="AE23" t="s">
        <v>659</v>
      </c>
      <c r="AF23" t="s">
        <v>660</v>
      </c>
      <c r="AG23" t="s">
        <v>661</v>
      </c>
      <c r="AH23" t="s">
        <v>643</v>
      </c>
      <c r="AI23" t="s">
        <v>662</v>
      </c>
      <c r="AJ23" t="s">
        <v>643</v>
      </c>
      <c r="AK23" t="s">
        <v>635</v>
      </c>
      <c r="AL23" t="s">
        <v>645</v>
      </c>
      <c r="AM23" t="s">
        <v>663</v>
      </c>
      <c r="AN23" t="s">
        <v>664</v>
      </c>
      <c r="AO23" t="s">
        <v>665</v>
      </c>
      <c r="AP23" t="s">
        <v>661</v>
      </c>
      <c r="AQ23" t="s">
        <v>666</v>
      </c>
      <c r="AR23" t="s">
        <v>667</v>
      </c>
    </row>
    <row r="24" spans="1:44" x14ac:dyDescent="0.3">
      <c r="A24" s="81" t="s">
        <v>668</v>
      </c>
      <c r="B24" t="s">
        <v>669</v>
      </c>
      <c r="C24" t="s">
        <v>670</v>
      </c>
      <c r="D24" t="s">
        <v>671</v>
      </c>
      <c r="E24" t="s">
        <v>672</v>
      </c>
      <c r="F24" t="s">
        <v>673</v>
      </c>
      <c r="G24" t="s">
        <v>674</v>
      </c>
      <c r="H24" t="s">
        <v>675</v>
      </c>
      <c r="I24" t="s">
        <v>668</v>
      </c>
      <c r="J24" t="s">
        <v>676</v>
      </c>
      <c r="K24" t="s">
        <v>677</v>
      </c>
      <c r="L24" t="s">
        <v>678</v>
      </c>
      <c r="M24" t="s">
        <v>679</v>
      </c>
      <c r="N24" t="s">
        <v>2566</v>
      </c>
      <c r="O24" t="s">
        <v>668</v>
      </c>
      <c r="P24" t="s">
        <v>680</v>
      </c>
      <c r="Q24" t="s">
        <v>668</v>
      </c>
      <c r="R24" t="s">
        <v>681</v>
      </c>
      <c r="S24" t="s">
        <v>682</v>
      </c>
      <c r="T24" t="s">
        <v>683</v>
      </c>
      <c r="U24" t="s">
        <v>684</v>
      </c>
      <c r="V24" t="s">
        <v>685</v>
      </c>
      <c r="W24" t="s">
        <v>684</v>
      </c>
      <c r="X24" t="s">
        <v>686</v>
      </c>
      <c r="Y24" t="s">
        <v>687</v>
      </c>
      <c r="Z24" t="s">
        <v>688</v>
      </c>
      <c r="AA24" t="s">
        <v>689</v>
      </c>
      <c r="AB24" t="s">
        <v>678</v>
      </c>
      <c r="AC24" t="s">
        <v>690</v>
      </c>
      <c r="AD24" t="s">
        <v>677</v>
      </c>
      <c r="AE24" t="s">
        <v>684</v>
      </c>
      <c r="AF24" t="s">
        <v>691</v>
      </c>
      <c r="AG24" t="s">
        <v>692</v>
      </c>
      <c r="AH24" t="s">
        <v>676</v>
      </c>
      <c r="AI24" t="s">
        <v>677</v>
      </c>
      <c r="AJ24" t="s">
        <v>693</v>
      </c>
      <c r="AK24" t="s">
        <v>668</v>
      </c>
      <c r="AL24" t="s">
        <v>694</v>
      </c>
      <c r="AM24" t="s">
        <v>695</v>
      </c>
      <c r="AN24" t="s">
        <v>696</v>
      </c>
      <c r="AO24" t="s">
        <v>697</v>
      </c>
      <c r="AP24" t="s">
        <v>692</v>
      </c>
      <c r="AQ24" t="s">
        <v>698</v>
      </c>
      <c r="AR24" t="s">
        <v>699</v>
      </c>
    </row>
    <row r="25" spans="1:44" x14ac:dyDescent="0.3">
      <c r="A25" s="81" t="s">
        <v>700</v>
      </c>
      <c r="B25" t="s">
        <v>700</v>
      </c>
      <c r="C25" t="s">
        <v>701</v>
      </c>
      <c r="D25" t="s">
        <v>702</v>
      </c>
      <c r="E25" t="s">
        <v>703</v>
      </c>
      <c r="F25" t="s">
        <v>704</v>
      </c>
      <c r="G25" t="s">
        <v>705</v>
      </c>
      <c r="H25" t="s">
        <v>706</v>
      </c>
      <c r="I25" t="s">
        <v>700</v>
      </c>
      <c r="J25" t="s">
        <v>707</v>
      </c>
      <c r="K25" t="s">
        <v>700</v>
      </c>
      <c r="L25" t="s">
        <v>700</v>
      </c>
      <c r="M25" t="s">
        <v>700</v>
      </c>
      <c r="N25" t="s">
        <v>700</v>
      </c>
      <c r="O25" t="s">
        <v>708</v>
      </c>
      <c r="P25" t="s">
        <v>709</v>
      </c>
      <c r="Q25" t="s">
        <v>700</v>
      </c>
      <c r="R25" t="s">
        <v>710</v>
      </c>
      <c r="S25" t="s">
        <v>711</v>
      </c>
      <c r="T25" t="s">
        <v>700</v>
      </c>
      <c r="U25" t="s">
        <v>700</v>
      </c>
      <c r="V25" t="s">
        <v>700</v>
      </c>
      <c r="W25" t="s">
        <v>705</v>
      </c>
      <c r="X25" t="s">
        <v>712</v>
      </c>
      <c r="Y25" t="s">
        <v>713</v>
      </c>
      <c r="Z25" t="s">
        <v>714</v>
      </c>
      <c r="AA25" t="s">
        <v>700</v>
      </c>
      <c r="AB25" t="s">
        <v>700</v>
      </c>
      <c r="AC25" t="s">
        <v>715</v>
      </c>
      <c r="AD25" t="s">
        <v>716</v>
      </c>
      <c r="AE25" t="s">
        <v>700</v>
      </c>
      <c r="AF25" t="s">
        <v>717</v>
      </c>
      <c r="AG25" t="s">
        <v>718</v>
      </c>
      <c r="AH25" t="s">
        <v>700</v>
      </c>
      <c r="AI25" t="s">
        <v>700</v>
      </c>
      <c r="AJ25" t="s">
        <v>700</v>
      </c>
      <c r="AK25" t="s">
        <v>719</v>
      </c>
      <c r="AL25" t="s">
        <v>720</v>
      </c>
      <c r="AM25" t="s">
        <v>721</v>
      </c>
      <c r="AN25" t="s">
        <v>722</v>
      </c>
      <c r="AO25" t="s">
        <v>723</v>
      </c>
      <c r="AP25" t="s">
        <v>724</v>
      </c>
      <c r="AQ25" t="s">
        <v>725</v>
      </c>
      <c r="AR25" t="s">
        <v>718</v>
      </c>
    </row>
    <row r="26" spans="1:44" x14ac:dyDescent="0.3">
      <c r="A26" s="81" t="s">
        <v>726</v>
      </c>
      <c r="B26" t="s">
        <v>727</v>
      </c>
      <c r="C26" t="s">
        <v>728</v>
      </c>
      <c r="D26" t="s">
        <v>729</v>
      </c>
      <c r="E26" t="s">
        <v>730</v>
      </c>
      <c r="F26" t="s">
        <v>731</v>
      </c>
      <c r="G26" t="s">
        <v>726</v>
      </c>
      <c r="H26" t="s">
        <v>732</v>
      </c>
      <c r="I26" t="s">
        <v>726</v>
      </c>
      <c r="J26" t="s">
        <v>733</v>
      </c>
      <c r="K26" t="s">
        <v>726</v>
      </c>
      <c r="L26" t="s">
        <v>726</v>
      </c>
      <c r="M26" t="s">
        <v>726</v>
      </c>
      <c r="N26" t="s">
        <v>726</v>
      </c>
      <c r="O26" t="s">
        <v>734</v>
      </c>
      <c r="P26" t="s">
        <v>735</v>
      </c>
      <c r="Q26" t="s">
        <v>726</v>
      </c>
      <c r="R26" t="s">
        <v>736</v>
      </c>
      <c r="S26" t="s">
        <v>737</v>
      </c>
      <c r="T26" t="s">
        <v>726</v>
      </c>
      <c r="U26" t="s">
        <v>738</v>
      </c>
      <c r="V26" t="s">
        <v>726</v>
      </c>
      <c r="W26" t="s">
        <v>726</v>
      </c>
      <c r="X26" t="s">
        <v>739</v>
      </c>
      <c r="Y26" t="s">
        <v>484</v>
      </c>
      <c r="Z26" t="s">
        <v>740</v>
      </c>
      <c r="AA26" t="s">
        <v>741</v>
      </c>
      <c r="AB26" t="s">
        <v>726</v>
      </c>
      <c r="AC26" t="s">
        <v>742</v>
      </c>
      <c r="AD26" t="s">
        <v>743</v>
      </c>
      <c r="AE26" t="s">
        <v>730</v>
      </c>
      <c r="AF26" t="s">
        <v>726</v>
      </c>
      <c r="AG26" t="s">
        <v>740</v>
      </c>
      <c r="AH26" t="s">
        <v>726</v>
      </c>
      <c r="AI26" t="s">
        <v>726</v>
      </c>
      <c r="AJ26" t="s">
        <v>726</v>
      </c>
      <c r="AK26" t="s">
        <v>726</v>
      </c>
      <c r="AL26" t="s">
        <v>726</v>
      </c>
      <c r="AM26" t="s">
        <v>744</v>
      </c>
      <c r="AN26" t="s">
        <v>745</v>
      </c>
      <c r="AO26" t="s">
        <v>746</v>
      </c>
      <c r="AP26" t="s">
        <v>747</v>
      </c>
      <c r="AQ26" t="s">
        <v>748</v>
      </c>
      <c r="AR26" t="s">
        <v>740</v>
      </c>
    </row>
    <row r="27" spans="1:44" x14ac:dyDescent="0.3">
      <c r="A27" s="81" t="s">
        <v>534</v>
      </c>
      <c r="B27" t="s">
        <v>534</v>
      </c>
      <c r="C27" t="s">
        <v>749</v>
      </c>
      <c r="D27" t="s">
        <v>750</v>
      </c>
      <c r="E27" t="s">
        <v>534</v>
      </c>
      <c r="F27" t="s">
        <v>751</v>
      </c>
      <c r="G27" t="s">
        <v>534</v>
      </c>
      <c r="H27" t="s">
        <v>752</v>
      </c>
      <c r="I27" t="s">
        <v>534</v>
      </c>
      <c r="J27" t="s">
        <v>753</v>
      </c>
      <c r="K27" t="s">
        <v>534</v>
      </c>
      <c r="L27" t="s">
        <v>534</v>
      </c>
      <c r="M27" t="s">
        <v>754</v>
      </c>
      <c r="N27" t="s">
        <v>534</v>
      </c>
      <c r="O27" t="s">
        <v>755</v>
      </c>
      <c r="P27" t="s">
        <v>756</v>
      </c>
      <c r="Q27" t="s">
        <v>757</v>
      </c>
      <c r="R27" t="s">
        <v>758</v>
      </c>
      <c r="S27" t="s">
        <v>759</v>
      </c>
      <c r="T27" t="s">
        <v>760</v>
      </c>
      <c r="U27" t="s">
        <v>534</v>
      </c>
      <c r="V27" t="s">
        <v>534</v>
      </c>
      <c r="W27" t="s">
        <v>534</v>
      </c>
      <c r="X27" t="s">
        <v>761</v>
      </c>
      <c r="Y27" t="s">
        <v>762</v>
      </c>
      <c r="Z27" t="s">
        <v>763</v>
      </c>
      <c r="AA27" t="s">
        <v>534</v>
      </c>
      <c r="AB27" t="s">
        <v>534</v>
      </c>
      <c r="AC27" t="s">
        <v>764</v>
      </c>
      <c r="AD27" t="s">
        <v>534</v>
      </c>
      <c r="AE27" t="s">
        <v>534</v>
      </c>
      <c r="AF27" t="s">
        <v>534</v>
      </c>
      <c r="AG27" t="s">
        <v>763</v>
      </c>
      <c r="AH27" t="s">
        <v>534</v>
      </c>
      <c r="AI27" t="s">
        <v>534</v>
      </c>
      <c r="AJ27" t="s">
        <v>534</v>
      </c>
      <c r="AK27" t="s">
        <v>534</v>
      </c>
      <c r="AL27" t="s">
        <v>765</v>
      </c>
      <c r="AM27" t="s">
        <v>766</v>
      </c>
      <c r="AN27" t="s">
        <v>534</v>
      </c>
      <c r="AO27" t="s">
        <v>767</v>
      </c>
      <c r="AP27" t="s">
        <v>768</v>
      </c>
      <c r="AQ27" t="s">
        <v>769</v>
      </c>
      <c r="AR27" t="s">
        <v>763</v>
      </c>
    </row>
    <row r="28" spans="1:44" x14ac:dyDescent="0.3">
      <c r="A28" s="81" t="s">
        <v>770</v>
      </c>
      <c r="B28" t="s">
        <v>771</v>
      </c>
      <c r="C28" t="s">
        <v>772</v>
      </c>
      <c r="D28" t="s">
        <v>773</v>
      </c>
      <c r="E28" t="s">
        <v>770</v>
      </c>
      <c r="F28" t="s">
        <v>774</v>
      </c>
      <c r="G28" t="s">
        <v>775</v>
      </c>
      <c r="H28" t="s">
        <v>776</v>
      </c>
      <c r="I28" t="s">
        <v>770</v>
      </c>
      <c r="J28" t="s">
        <v>777</v>
      </c>
      <c r="K28" t="s">
        <v>770</v>
      </c>
      <c r="L28" t="s">
        <v>770</v>
      </c>
      <c r="M28" t="s">
        <v>770</v>
      </c>
      <c r="N28" t="s">
        <v>770</v>
      </c>
      <c r="O28" t="s">
        <v>778</v>
      </c>
      <c r="P28" t="s">
        <v>779</v>
      </c>
      <c r="Q28" t="s">
        <v>770</v>
      </c>
      <c r="R28" t="s">
        <v>780</v>
      </c>
      <c r="S28" t="s">
        <v>781</v>
      </c>
      <c r="T28" t="s">
        <v>782</v>
      </c>
      <c r="U28" t="s">
        <v>770</v>
      </c>
      <c r="V28" t="s">
        <v>770</v>
      </c>
      <c r="W28" t="s">
        <v>770</v>
      </c>
      <c r="X28" t="s">
        <v>783</v>
      </c>
      <c r="Y28" t="s">
        <v>784</v>
      </c>
      <c r="Z28" t="s">
        <v>785</v>
      </c>
      <c r="AA28" t="s">
        <v>770</v>
      </c>
      <c r="AB28" t="s">
        <v>770</v>
      </c>
      <c r="AC28" t="s">
        <v>786</v>
      </c>
      <c r="AD28" t="s">
        <v>787</v>
      </c>
      <c r="AE28" t="s">
        <v>775</v>
      </c>
      <c r="AF28" t="s">
        <v>770</v>
      </c>
      <c r="AG28" t="s">
        <v>785</v>
      </c>
      <c r="AH28" t="s">
        <v>770</v>
      </c>
      <c r="AI28" t="s">
        <v>770</v>
      </c>
      <c r="AJ28" t="s">
        <v>770</v>
      </c>
      <c r="AK28" t="s">
        <v>775</v>
      </c>
      <c r="AL28" t="s">
        <v>788</v>
      </c>
      <c r="AM28" t="s">
        <v>789</v>
      </c>
      <c r="AN28" t="s">
        <v>790</v>
      </c>
      <c r="AO28" t="s">
        <v>791</v>
      </c>
      <c r="AP28" t="s">
        <v>792</v>
      </c>
      <c r="AQ28" t="s">
        <v>793</v>
      </c>
      <c r="AR28" t="s">
        <v>785</v>
      </c>
    </row>
    <row r="29" spans="1:44" x14ac:dyDescent="0.3">
      <c r="A29" s="81" t="s">
        <v>794</v>
      </c>
      <c r="B29" t="s">
        <v>795</v>
      </c>
      <c r="C29" t="s">
        <v>796</v>
      </c>
      <c r="D29" t="s">
        <v>797</v>
      </c>
      <c r="E29" t="s">
        <v>794</v>
      </c>
      <c r="F29" t="s">
        <v>798</v>
      </c>
      <c r="G29" t="s">
        <v>799</v>
      </c>
      <c r="H29" t="s">
        <v>800</v>
      </c>
      <c r="I29" t="s">
        <v>794</v>
      </c>
      <c r="J29" t="s">
        <v>801</v>
      </c>
      <c r="K29" t="s">
        <v>794</v>
      </c>
      <c r="L29" t="s">
        <v>795</v>
      </c>
      <c r="M29" t="s">
        <v>802</v>
      </c>
      <c r="N29" t="s">
        <v>799</v>
      </c>
      <c r="O29" t="s">
        <v>799</v>
      </c>
      <c r="P29" t="s">
        <v>803</v>
      </c>
      <c r="Q29" t="s">
        <v>799</v>
      </c>
      <c r="R29" t="s">
        <v>804</v>
      </c>
      <c r="S29" t="s">
        <v>805</v>
      </c>
      <c r="T29" t="s">
        <v>806</v>
      </c>
      <c r="U29" t="s">
        <v>802</v>
      </c>
      <c r="V29" t="s">
        <v>807</v>
      </c>
      <c r="W29" t="s">
        <v>808</v>
      </c>
      <c r="X29" t="s">
        <v>809</v>
      </c>
      <c r="Y29" t="s">
        <v>810</v>
      </c>
      <c r="Z29" t="s">
        <v>811</v>
      </c>
      <c r="AA29" t="s">
        <v>812</v>
      </c>
      <c r="AB29" t="s">
        <v>799</v>
      </c>
      <c r="AC29" t="s">
        <v>813</v>
      </c>
      <c r="AD29" t="s">
        <v>795</v>
      </c>
      <c r="AE29" t="s">
        <v>799</v>
      </c>
      <c r="AF29" t="s">
        <v>799</v>
      </c>
      <c r="AG29" t="s">
        <v>798</v>
      </c>
      <c r="AH29" t="s">
        <v>795</v>
      </c>
      <c r="AI29" t="s">
        <v>806</v>
      </c>
      <c r="AJ29" t="s">
        <v>795</v>
      </c>
      <c r="AK29" t="s">
        <v>794</v>
      </c>
      <c r="AL29" t="s">
        <v>814</v>
      </c>
      <c r="AM29" t="s">
        <v>815</v>
      </c>
      <c r="AN29" t="s">
        <v>794</v>
      </c>
      <c r="AO29" t="s">
        <v>816</v>
      </c>
      <c r="AP29" t="s">
        <v>817</v>
      </c>
      <c r="AQ29" t="s">
        <v>818</v>
      </c>
      <c r="AR29" t="s">
        <v>798</v>
      </c>
    </row>
    <row r="30" spans="1:44" x14ac:dyDescent="0.3">
      <c r="A30" s="81" t="s">
        <v>819</v>
      </c>
      <c r="B30" t="s">
        <v>820</v>
      </c>
      <c r="C30" t="s">
        <v>821</v>
      </c>
      <c r="D30" t="s">
        <v>822</v>
      </c>
      <c r="E30" t="s">
        <v>823</v>
      </c>
      <c r="F30" t="s">
        <v>824</v>
      </c>
      <c r="G30" t="s">
        <v>819</v>
      </c>
      <c r="H30" t="s">
        <v>825</v>
      </c>
      <c r="I30" t="s">
        <v>819</v>
      </c>
      <c r="J30" t="s">
        <v>826</v>
      </c>
      <c r="K30" t="s">
        <v>827</v>
      </c>
      <c r="L30" t="s">
        <v>819</v>
      </c>
      <c r="M30" t="s">
        <v>819</v>
      </c>
      <c r="N30" t="s">
        <v>819</v>
      </c>
      <c r="O30" t="s">
        <v>828</v>
      </c>
      <c r="P30" t="s">
        <v>829</v>
      </c>
      <c r="Q30" t="s">
        <v>819</v>
      </c>
      <c r="R30" t="s">
        <v>830</v>
      </c>
      <c r="S30" t="s">
        <v>831</v>
      </c>
      <c r="T30" t="s">
        <v>832</v>
      </c>
      <c r="U30" t="s">
        <v>819</v>
      </c>
      <c r="V30" t="s">
        <v>832</v>
      </c>
      <c r="W30" t="s">
        <v>833</v>
      </c>
      <c r="X30" t="s">
        <v>834</v>
      </c>
      <c r="Y30" t="s">
        <v>835</v>
      </c>
      <c r="Z30" t="s">
        <v>836</v>
      </c>
      <c r="AA30" t="s">
        <v>837</v>
      </c>
      <c r="AB30" t="s">
        <v>819</v>
      </c>
      <c r="AC30" t="s">
        <v>838</v>
      </c>
      <c r="AD30" t="s">
        <v>839</v>
      </c>
      <c r="AE30" t="s">
        <v>819</v>
      </c>
      <c r="AF30" t="s">
        <v>840</v>
      </c>
      <c r="AG30" t="s">
        <v>841</v>
      </c>
      <c r="AH30" t="s">
        <v>819</v>
      </c>
      <c r="AI30" t="s">
        <v>832</v>
      </c>
      <c r="AJ30" t="s">
        <v>819</v>
      </c>
      <c r="AK30" t="s">
        <v>819</v>
      </c>
      <c r="AL30" t="s">
        <v>842</v>
      </c>
      <c r="AM30" t="s">
        <v>843</v>
      </c>
      <c r="AN30" t="s">
        <v>844</v>
      </c>
      <c r="AO30" t="s">
        <v>845</v>
      </c>
      <c r="AP30" t="s">
        <v>846</v>
      </c>
      <c r="AQ30" t="s">
        <v>847</v>
      </c>
      <c r="AR30" t="s">
        <v>841</v>
      </c>
    </row>
    <row r="31" spans="1:44" x14ac:dyDescent="0.3">
      <c r="A31" s="81" t="s">
        <v>848</v>
      </c>
      <c r="B31" t="s">
        <v>849</v>
      </c>
      <c r="C31" t="s">
        <v>850</v>
      </c>
      <c r="D31" t="s">
        <v>851</v>
      </c>
      <c r="E31" t="s">
        <v>852</v>
      </c>
      <c r="F31" t="s">
        <v>853</v>
      </c>
      <c r="G31" t="s">
        <v>848</v>
      </c>
      <c r="H31" t="s">
        <v>854</v>
      </c>
      <c r="I31" t="s">
        <v>848</v>
      </c>
      <c r="J31" t="s">
        <v>855</v>
      </c>
      <c r="K31" t="s">
        <v>856</v>
      </c>
      <c r="L31" t="s">
        <v>848</v>
      </c>
      <c r="M31" t="s">
        <v>848</v>
      </c>
      <c r="N31" t="s">
        <v>848</v>
      </c>
      <c r="O31" t="s">
        <v>857</v>
      </c>
      <c r="P31" t="s">
        <v>858</v>
      </c>
      <c r="Q31" t="s">
        <v>848</v>
      </c>
      <c r="R31" t="s">
        <v>859</v>
      </c>
      <c r="S31" t="s">
        <v>860</v>
      </c>
      <c r="T31" t="s">
        <v>861</v>
      </c>
      <c r="U31" t="s">
        <v>848</v>
      </c>
      <c r="V31" t="s">
        <v>861</v>
      </c>
      <c r="W31" t="s">
        <v>862</v>
      </c>
      <c r="X31" t="s">
        <v>863</v>
      </c>
      <c r="Y31" t="s">
        <v>864</v>
      </c>
      <c r="Z31" t="s">
        <v>865</v>
      </c>
      <c r="AA31" t="s">
        <v>866</v>
      </c>
      <c r="AB31" t="s">
        <v>848</v>
      </c>
      <c r="AC31" t="s">
        <v>867</v>
      </c>
      <c r="AD31" t="s">
        <v>826</v>
      </c>
      <c r="AE31" t="s">
        <v>848</v>
      </c>
      <c r="AF31" t="s">
        <v>868</v>
      </c>
      <c r="AG31" t="s">
        <v>869</v>
      </c>
      <c r="AH31" t="s">
        <v>848</v>
      </c>
      <c r="AI31" t="s">
        <v>861</v>
      </c>
      <c r="AJ31" t="s">
        <v>848</v>
      </c>
      <c r="AK31" t="s">
        <v>848</v>
      </c>
      <c r="AL31" t="s">
        <v>870</v>
      </c>
      <c r="AM31" t="s">
        <v>871</v>
      </c>
      <c r="AN31" t="s">
        <v>872</v>
      </c>
      <c r="AO31" t="s">
        <v>873</v>
      </c>
      <c r="AP31" t="s">
        <v>874</v>
      </c>
      <c r="AQ31" t="s">
        <v>875</v>
      </c>
      <c r="AR31" t="s">
        <v>869</v>
      </c>
    </row>
    <row r="32" spans="1:44" x14ac:dyDescent="0.3">
      <c r="A32" s="81" t="s">
        <v>876</v>
      </c>
      <c r="B32" t="s">
        <v>877</v>
      </c>
      <c r="C32" t="s">
        <v>878</v>
      </c>
      <c r="D32" t="s">
        <v>879</v>
      </c>
      <c r="E32" t="s">
        <v>880</v>
      </c>
      <c r="F32" t="s">
        <v>881</v>
      </c>
      <c r="G32" t="s">
        <v>882</v>
      </c>
      <c r="H32" t="s">
        <v>883</v>
      </c>
      <c r="I32" t="s">
        <v>876</v>
      </c>
      <c r="J32" t="s">
        <v>884</v>
      </c>
      <c r="K32" t="s">
        <v>876</v>
      </c>
      <c r="L32" t="s">
        <v>876</v>
      </c>
      <c r="M32" t="s">
        <v>876</v>
      </c>
      <c r="N32" t="s">
        <v>876</v>
      </c>
      <c r="O32" t="s">
        <v>885</v>
      </c>
      <c r="P32" t="s">
        <v>886</v>
      </c>
      <c r="Q32" t="s">
        <v>876</v>
      </c>
      <c r="R32" t="s">
        <v>887</v>
      </c>
      <c r="S32" t="s">
        <v>888</v>
      </c>
      <c r="T32" t="s">
        <v>876</v>
      </c>
      <c r="U32" t="s">
        <v>889</v>
      </c>
      <c r="V32" t="s">
        <v>890</v>
      </c>
      <c r="W32" t="s">
        <v>882</v>
      </c>
      <c r="X32" t="s">
        <v>891</v>
      </c>
      <c r="Y32" t="s">
        <v>892</v>
      </c>
      <c r="Z32" t="s">
        <v>893</v>
      </c>
      <c r="AA32" t="s">
        <v>894</v>
      </c>
      <c r="AB32" t="s">
        <v>876</v>
      </c>
      <c r="AC32" t="s">
        <v>895</v>
      </c>
      <c r="AD32" t="s">
        <v>896</v>
      </c>
      <c r="AE32" t="s">
        <v>882</v>
      </c>
      <c r="AF32" t="s">
        <v>876</v>
      </c>
      <c r="AG32" t="s">
        <v>893</v>
      </c>
      <c r="AH32" t="s">
        <v>897</v>
      </c>
      <c r="AI32" t="s">
        <v>876</v>
      </c>
      <c r="AJ32" t="s">
        <v>897</v>
      </c>
      <c r="AK32" t="s">
        <v>882</v>
      </c>
      <c r="AL32" t="s">
        <v>876</v>
      </c>
      <c r="AM32" t="s">
        <v>898</v>
      </c>
      <c r="AN32" t="s">
        <v>899</v>
      </c>
      <c r="AO32" t="s">
        <v>900</v>
      </c>
      <c r="AP32" t="s">
        <v>901</v>
      </c>
      <c r="AQ32" t="s">
        <v>902</v>
      </c>
      <c r="AR32" t="s">
        <v>893</v>
      </c>
    </row>
    <row r="33" spans="1:44" x14ac:dyDescent="0.3">
      <c r="A33" s="81" t="s">
        <v>903</v>
      </c>
      <c r="B33" t="s">
        <v>904</v>
      </c>
      <c r="C33" t="s">
        <v>905</v>
      </c>
      <c r="D33" t="s">
        <v>906</v>
      </c>
      <c r="E33" t="s">
        <v>517</v>
      </c>
      <c r="F33" t="s">
        <v>907</v>
      </c>
      <c r="G33" t="s">
        <v>908</v>
      </c>
      <c r="H33" t="s">
        <v>909</v>
      </c>
      <c r="I33" t="s">
        <v>903</v>
      </c>
      <c r="J33" t="s">
        <v>910</v>
      </c>
      <c r="K33" t="s">
        <v>903</v>
      </c>
      <c r="L33" t="s">
        <v>903</v>
      </c>
      <c r="M33" t="s">
        <v>903</v>
      </c>
      <c r="N33" t="s">
        <v>903</v>
      </c>
      <c r="O33" t="s">
        <v>911</v>
      </c>
      <c r="P33" t="s">
        <v>912</v>
      </c>
      <c r="Q33" t="s">
        <v>903</v>
      </c>
      <c r="R33" t="s">
        <v>913</v>
      </c>
      <c r="S33" t="s">
        <v>914</v>
      </c>
      <c r="T33" t="s">
        <v>915</v>
      </c>
      <c r="U33" t="s">
        <v>903</v>
      </c>
      <c r="V33" t="s">
        <v>903</v>
      </c>
      <c r="W33" t="s">
        <v>908</v>
      </c>
      <c r="X33" t="s">
        <v>916</v>
      </c>
      <c r="Y33" t="s">
        <v>917</v>
      </c>
      <c r="Z33" t="s">
        <v>918</v>
      </c>
      <c r="AA33" t="s">
        <v>908</v>
      </c>
      <c r="AB33" t="s">
        <v>903</v>
      </c>
      <c r="AC33" t="s">
        <v>919</v>
      </c>
      <c r="AD33" t="s">
        <v>920</v>
      </c>
      <c r="AE33" t="s">
        <v>908</v>
      </c>
      <c r="AF33" t="s">
        <v>903</v>
      </c>
      <c r="AG33" t="s">
        <v>921</v>
      </c>
      <c r="AH33" t="s">
        <v>903</v>
      </c>
      <c r="AI33" t="s">
        <v>903</v>
      </c>
      <c r="AJ33" t="s">
        <v>903</v>
      </c>
      <c r="AK33" t="s">
        <v>903</v>
      </c>
      <c r="AL33" t="s">
        <v>922</v>
      </c>
      <c r="AM33" t="s">
        <v>923</v>
      </c>
      <c r="AN33" t="s">
        <v>924</v>
      </c>
      <c r="AO33" t="s">
        <v>925</v>
      </c>
      <c r="AP33" t="s">
        <v>926</v>
      </c>
      <c r="AQ33" t="s">
        <v>927</v>
      </c>
      <c r="AR33" t="s">
        <v>921</v>
      </c>
    </row>
    <row r="34" spans="1:44" x14ac:dyDescent="0.3">
      <c r="A34" s="81" t="s">
        <v>928</v>
      </c>
      <c r="B34" t="s">
        <v>929</v>
      </c>
      <c r="C34" t="s">
        <v>930</v>
      </c>
      <c r="D34" t="s">
        <v>931</v>
      </c>
      <c r="E34" t="s">
        <v>932</v>
      </c>
      <c r="F34" t="s">
        <v>933</v>
      </c>
      <c r="G34" t="s">
        <v>928</v>
      </c>
      <c r="H34" t="s">
        <v>934</v>
      </c>
      <c r="I34" t="s">
        <v>928</v>
      </c>
      <c r="J34" t="s">
        <v>935</v>
      </c>
      <c r="K34" t="s">
        <v>928</v>
      </c>
      <c r="L34" t="s">
        <v>932</v>
      </c>
      <c r="M34" t="s">
        <v>932</v>
      </c>
      <c r="N34" t="s">
        <v>932</v>
      </c>
      <c r="O34" t="s">
        <v>928</v>
      </c>
      <c r="P34" t="s">
        <v>936</v>
      </c>
      <c r="Q34" t="s">
        <v>932</v>
      </c>
      <c r="R34" t="s">
        <v>937</v>
      </c>
      <c r="S34" t="s">
        <v>938</v>
      </c>
      <c r="T34" t="s">
        <v>932</v>
      </c>
      <c r="U34" t="s">
        <v>932</v>
      </c>
      <c r="V34" t="s">
        <v>932</v>
      </c>
      <c r="W34" t="s">
        <v>939</v>
      </c>
      <c r="X34" t="s">
        <v>940</v>
      </c>
      <c r="Y34" t="s">
        <v>941</v>
      </c>
      <c r="Z34" t="s">
        <v>942</v>
      </c>
      <c r="AA34" t="s">
        <v>939</v>
      </c>
      <c r="AB34" t="s">
        <v>932</v>
      </c>
      <c r="AC34" t="s">
        <v>943</v>
      </c>
      <c r="AD34" t="s">
        <v>944</v>
      </c>
      <c r="AE34" t="s">
        <v>945</v>
      </c>
      <c r="AF34" t="s">
        <v>928</v>
      </c>
      <c r="AG34" t="s">
        <v>942</v>
      </c>
      <c r="AH34" t="s">
        <v>932</v>
      </c>
      <c r="AI34" t="s">
        <v>932</v>
      </c>
      <c r="AJ34" t="s">
        <v>928</v>
      </c>
      <c r="AK34" t="s">
        <v>928</v>
      </c>
      <c r="AL34" t="s">
        <v>946</v>
      </c>
      <c r="AM34" t="s">
        <v>947</v>
      </c>
      <c r="AN34" t="s">
        <v>948</v>
      </c>
      <c r="AO34" t="s">
        <v>949</v>
      </c>
      <c r="AP34" t="s">
        <v>950</v>
      </c>
      <c r="AQ34" t="s">
        <v>951</v>
      </c>
      <c r="AR34" t="s">
        <v>942</v>
      </c>
    </row>
    <row r="35" spans="1:44" x14ac:dyDescent="0.3">
      <c r="A35" s="81" t="s">
        <v>952</v>
      </c>
      <c r="B35" t="s">
        <v>953</v>
      </c>
      <c r="C35" t="s">
        <v>954</v>
      </c>
      <c r="D35" t="s">
        <v>955</v>
      </c>
      <c r="E35" t="s">
        <v>956</v>
      </c>
      <c r="F35" t="s">
        <v>957</v>
      </c>
      <c r="G35" t="s">
        <v>952</v>
      </c>
      <c r="H35" t="s">
        <v>958</v>
      </c>
      <c r="I35" t="s">
        <v>952</v>
      </c>
      <c r="J35" t="s">
        <v>959</v>
      </c>
      <c r="K35" t="s">
        <v>952</v>
      </c>
      <c r="L35" t="s">
        <v>952</v>
      </c>
      <c r="M35" t="s">
        <v>952</v>
      </c>
      <c r="N35" t="s">
        <v>952</v>
      </c>
      <c r="O35" t="s">
        <v>952</v>
      </c>
      <c r="P35" t="s">
        <v>960</v>
      </c>
      <c r="Q35" t="s">
        <v>952</v>
      </c>
      <c r="R35" t="s">
        <v>961</v>
      </c>
      <c r="S35" t="s">
        <v>962</v>
      </c>
      <c r="T35" t="s">
        <v>952</v>
      </c>
      <c r="U35" t="s">
        <v>963</v>
      </c>
      <c r="V35" t="s">
        <v>964</v>
      </c>
      <c r="W35" t="s">
        <v>952</v>
      </c>
      <c r="X35" t="s">
        <v>965</v>
      </c>
      <c r="Y35" t="s">
        <v>966</v>
      </c>
      <c r="Z35" t="s">
        <v>967</v>
      </c>
      <c r="AA35" t="s">
        <v>952</v>
      </c>
      <c r="AB35" t="s">
        <v>952</v>
      </c>
      <c r="AC35" t="s">
        <v>968</v>
      </c>
      <c r="AD35" t="s">
        <v>935</v>
      </c>
      <c r="AE35" t="s">
        <v>952</v>
      </c>
      <c r="AF35" t="s">
        <v>969</v>
      </c>
      <c r="AG35" t="s">
        <v>970</v>
      </c>
      <c r="AH35" t="s">
        <v>952</v>
      </c>
      <c r="AI35" t="s">
        <v>952</v>
      </c>
      <c r="AJ35" t="s">
        <v>952</v>
      </c>
      <c r="AK35" t="s">
        <v>952</v>
      </c>
      <c r="AL35" t="s">
        <v>971</v>
      </c>
      <c r="AM35" t="s">
        <v>972</v>
      </c>
      <c r="AN35" t="s">
        <v>973</v>
      </c>
      <c r="AO35" t="s">
        <v>974</v>
      </c>
      <c r="AP35" t="s">
        <v>975</v>
      </c>
      <c r="AQ35" t="s">
        <v>976</v>
      </c>
      <c r="AR35" t="s">
        <v>970</v>
      </c>
    </row>
    <row r="36" spans="1:44" x14ac:dyDescent="0.3">
      <c r="A36" s="81" t="s">
        <v>977</v>
      </c>
      <c r="B36" t="s">
        <v>978</v>
      </c>
      <c r="C36" t="s">
        <v>979</v>
      </c>
      <c r="D36" t="s">
        <v>980</v>
      </c>
      <c r="E36" t="s">
        <v>981</v>
      </c>
      <c r="F36" t="s">
        <v>982</v>
      </c>
      <c r="G36" t="s">
        <v>983</v>
      </c>
      <c r="H36" t="s">
        <v>984</v>
      </c>
      <c r="I36" t="s">
        <v>977</v>
      </c>
      <c r="J36" t="s">
        <v>985</v>
      </c>
      <c r="K36" t="s">
        <v>977</v>
      </c>
      <c r="L36" t="s">
        <v>977</v>
      </c>
      <c r="M36" t="s">
        <v>977</v>
      </c>
      <c r="N36" t="s">
        <v>983</v>
      </c>
      <c r="O36" t="s">
        <v>986</v>
      </c>
      <c r="P36" t="s">
        <v>987</v>
      </c>
      <c r="Q36" t="s">
        <v>988</v>
      </c>
      <c r="R36" t="s">
        <v>989</v>
      </c>
      <c r="S36" t="s">
        <v>990</v>
      </c>
      <c r="T36" t="s">
        <v>977</v>
      </c>
      <c r="U36" t="s">
        <v>983</v>
      </c>
      <c r="V36" t="s">
        <v>983</v>
      </c>
      <c r="W36" t="s">
        <v>991</v>
      </c>
      <c r="X36" t="s">
        <v>992</v>
      </c>
      <c r="Y36" t="s">
        <v>993</v>
      </c>
      <c r="Z36" t="s">
        <v>994</v>
      </c>
      <c r="AA36" t="s">
        <v>995</v>
      </c>
      <c r="AB36" t="s">
        <v>983</v>
      </c>
      <c r="AC36" t="s">
        <v>996</v>
      </c>
      <c r="AD36" t="s">
        <v>997</v>
      </c>
      <c r="AE36" t="s">
        <v>988</v>
      </c>
      <c r="AF36" t="s">
        <v>977</v>
      </c>
      <c r="AG36" t="s">
        <v>994</v>
      </c>
      <c r="AH36" t="s">
        <v>977</v>
      </c>
      <c r="AI36" t="s">
        <v>977</v>
      </c>
      <c r="AJ36" t="s">
        <v>977</v>
      </c>
      <c r="AK36" t="s">
        <v>991</v>
      </c>
      <c r="AL36" t="s">
        <v>998</v>
      </c>
      <c r="AM36" t="s">
        <v>999</v>
      </c>
      <c r="AN36" t="s">
        <v>1000</v>
      </c>
      <c r="AO36" t="s">
        <v>1001</v>
      </c>
      <c r="AP36" t="s">
        <v>1002</v>
      </c>
      <c r="AQ36" t="s">
        <v>1003</v>
      </c>
      <c r="AR36" t="s">
        <v>994</v>
      </c>
    </row>
    <row r="37" spans="1:44" x14ac:dyDescent="0.3">
      <c r="A37" s="81" t="s">
        <v>1004</v>
      </c>
      <c r="B37" t="s">
        <v>1005</v>
      </c>
      <c r="C37" t="s">
        <v>1006</v>
      </c>
      <c r="D37" t="s">
        <v>1007</v>
      </c>
      <c r="E37" t="s">
        <v>1008</v>
      </c>
      <c r="F37" t="s">
        <v>1009</v>
      </c>
      <c r="G37" t="s">
        <v>1010</v>
      </c>
      <c r="H37" t="s">
        <v>1011</v>
      </c>
      <c r="I37" t="s">
        <v>1012</v>
      </c>
      <c r="J37" t="s">
        <v>1004</v>
      </c>
      <c r="K37" t="s">
        <v>1004</v>
      </c>
      <c r="L37" t="s">
        <v>1013</v>
      </c>
      <c r="M37" t="s">
        <v>1004</v>
      </c>
      <c r="N37" t="s">
        <v>1020</v>
      </c>
      <c r="O37" t="s">
        <v>1014</v>
      </c>
      <c r="P37" t="s">
        <v>1015</v>
      </c>
      <c r="Q37" t="s">
        <v>1004</v>
      </c>
      <c r="R37" t="s">
        <v>1016</v>
      </c>
      <c r="S37" t="s">
        <v>1017</v>
      </c>
      <c r="T37" t="s">
        <v>1018</v>
      </c>
      <c r="U37" t="s">
        <v>1019</v>
      </c>
      <c r="V37" t="s">
        <v>1020</v>
      </c>
      <c r="W37" t="s">
        <v>1021</v>
      </c>
      <c r="X37" t="s">
        <v>1022</v>
      </c>
      <c r="Y37" t="s">
        <v>1008</v>
      </c>
      <c r="Z37" t="s">
        <v>1023</v>
      </c>
      <c r="AA37" t="s">
        <v>1019</v>
      </c>
      <c r="AB37" t="s">
        <v>1024</v>
      </c>
      <c r="AC37" t="s">
        <v>1025</v>
      </c>
      <c r="AD37" t="s">
        <v>1026</v>
      </c>
      <c r="AE37" t="s">
        <v>1027</v>
      </c>
      <c r="AF37" t="s">
        <v>1028</v>
      </c>
      <c r="AG37" t="s">
        <v>1029</v>
      </c>
      <c r="AH37" t="s">
        <v>1030</v>
      </c>
      <c r="AI37" t="s">
        <v>1031</v>
      </c>
      <c r="AJ37" t="s">
        <v>1032</v>
      </c>
      <c r="AK37" t="s">
        <v>1033</v>
      </c>
      <c r="AL37" t="s">
        <v>1024</v>
      </c>
      <c r="AM37" t="s">
        <v>1034</v>
      </c>
      <c r="AN37" t="s">
        <v>1035</v>
      </c>
      <c r="AO37" t="s">
        <v>1036</v>
      </c>
      <c r="AP37" t="s">
        <v>1029</v>
      </c>
      <c r="AQ37" t="s">
        <v>1037</v>
      </c>
      <c r="AR37" t="s">
        <v>1038</v>
      </c>
    </row>
    <row r="38" spans="1:44" x14ac:dyDescent="0.3">
      <c r="A38" s="81" t="s">
        <v>1039</v>
      </c>
      <c r="B38" t="s">
        <v>1040</v>
      </c>
      <c r="C38" t="s">
        <v>1041</v>
      </c>
      <c r="D38" t="s">
        <v>1042</v>
      </c>
      <c r="E38" t="s">
        <v>1043</v>
      </c>
      <c r="F38" t="s">
        <v>1044</v>
      </c>
      <c r="G38" t="s">
        <v>1045</v>
      </c>
      <c r="H38" t="s">
        <v>1046</v>
      </c>
      <c r="I38" t="s">
        <v>1047</v>
      </c>
      <c r="J38" t="s">
        <v>1048</v>
      </c>
      <c r="K38" t="s">
        <v>1049</v>
      </c>
      <c r="L38" t="s">
        <v>1050</v>
      </c>
      <c r="M38" t="s">
        <v>1051</v>
      </c>
      <c r="N38" t="s">
        <v>1062</v>
      </c>
      <c r="O38" t="s">
        <v>1052</v>
      </c>
      <c r="P38" t="s">
        <v>1053</v>
      </c>
      <c r="Q38" t="s">
        <v>1050</v>
      </c>
      <c r="R38" t="s">
        <v>1054</v>
      </c>
      <c r="S38" t="s">
        <v>1055</v>
      </c>
      <c r="T38" t="s">
        <v>1056</v>
      </c>
      <c r="U38" t="s">
        <v>1057</v>
      </c>
      <c r="V38" t="s">
        <v>1039</v>
      </c>
      <c r="W38" t="s">
        <v>1058</v>
      </c>
      <c r="X38" t="s">
        <v>1059</v>
      </c>
      <c r="Y38" t="s">
        <v>1060</v>
      </c>
      <c r="Z38" t="s">
        <v>1068</v>
      </c>
      <c r="AA38" t="s">
        <v>1061</v>
      </c>
      <c r="AB38" t="s">
        <v>1062</v>
      </c>
      <c r="AC38" t="s">
        <v>1063</v>
      </c>
      <c r="AD38" t="s">
        <v>1064</v>
      </c>
      <c r="AE38" t="s">
        <v>1065</v>
      </c>
      <c r="AF38" t="s">
        <v>1066</v>
      </c>
      <c r="AG38" t="s">
        <v>1067</v>
      </c>
      <c r="AH38" t="s">
        <v>1068</v>
      </c>
      <c r="AI38" t="s">
        <v>2304</v>
      </c>
      <c r="AJ38" t="s">
        <v>1069</v>
      </c>
      <c r="AK38" t="s">
        <v>1070</v>
      </c>
      <c r="AL38" t="s">
        <v>1050</v>
      </c>
      <c r="AM38" t="s">
        <v>1071</v>
      </c>
      <c r="AN38" t="s">
        <v>1072</v>
      </c>
      <c r="AO38" t="s">
        <v>1039</v>
      </c>
      <c r="AP38" t="s">
        <v>1073</v>
      </c>
      <c r="AQ38" t="s">
        <v>1074</v>
      </c>
      <c r="AR38" t="s">
        <v>1067</v>
      </c>
    </row>
    <row r="39" spans="1:44" x14ac:dyDescent="0.3">
      <c r="A39" s="81" t="s">
        <v>1075</v>
      </c>
      <c r="B39" t="s">
        <v>1076</v>
      </c>
      <c r="C39" t="s">
        <v>1077</v>
      </c>
      <c r="D39" t="s">
        <v>1078</v>
      </c>
      <c r="E39" t="s">
        <v>1079</v>
      </c>
      <c r="F39" t="s">
        <v>1080</v>
      </c>
      <c r="G39" t="s">
        <v>1081</v>
      </c>
      <c r="H39" t="s">
        <v>1082</v>
      </c>
      <c r="I39" t="s">
        <v>1082</v>
      </c>
      <c r="J39" t="s">
        <v>1083</v>
      </c>
      <c r="K39" t="s">
        <v>1084</v>
      </c>
      <c r="L39" t="s">
        <v>1075</v>
      </c>
      <c r="M39" t="s">
        <v>1075</v>
      </c>
      <c r="N39" t="s">
        <v>1083</v>
      </c>
      <c r="O39" t="s">
        <v>1085</v>
      </c>
      <c r="P39" t="s">
        <v>2307</v>
      </c>
      <c r="Q39" t="s">
        <v>1084</v>
      </c>
      <c r="R39" t="s">
        <v>1086</v>
      </c>
      <c r="S39" t="s">
        <v>1087</v>
      </c>
      <c r="T39" t="s">
        <v>1088</v>
      </c>
      <c r="U39" t="s">
        <v>1083</v>
      </c>
      <c r="V39" t="s">
        <v>1075</v>
      </c>
      <c r="W39" t="s">
        <v>1090</v>
      </c>
      <c r="X39" t="s">
        <v>1091</v>
      </c>
      <c r="Y39" t="s">
        <v>1079</v>
      </c>
      <c r="Z39" t="s">
        <v>1080</v>
      </c>
      <c r="AA39" t="s">
        <v>1092</v>
      </c>
      <c r="AB39" t="s">
        <v>1075</v>
      </c>
      <c r="AC39" t="s">
        <v>1093</v>
      </c>
      <c r="AD39" t="s">
        <v>1094</v>
      </c>
      <c r="AE39" t="s">
        <v>1095</v>
      </c>
      <c r="AF39" t="s">
        <v>1096</v>
      </c>
      <c r="AG39" t="s">
        <v>1097</v>
      </c>
      <c r="AH39" t="s">
        <v>1080</v>
      </c>
      <c r="AI39" t="s">
        <v>1084</v>
      </c>
      <c r="AJ39" t="s">
        <v>1089</v>
      </c>
      <c r="AK39" t="s">
        <v>1095</v>
      </c>
      <c r="AL39" t="s">
        <v>1084</v>
      </c>
      <c r="AM39" t="s">
        <v>1098</v>
      </c>
      <c r="AN39" t="s">
        <v>1079</v>
      </c>
      <c r="AO39" t="s">
        <v>1075</v>
      </c>
      <c r="AP39" t="s">
        <v>1097</v>
      </c>
      <c r="AQ39" t="s">
        <v>1099</v>
      </c>
      <c r="AR39" t="s">
        <v>1097</v>
      </c>
    </row>
    <row r="40" spans="1:44" x14ac:dyDescent="0.3">
      <c r="A40" s="81" t="s">
        <v>1100</v>
      </c>
      <c r="B40" t="s">
        <v>1100</v>
      </c>
      <c r="C40" t="s">
        <v>1101</v>
      </c>
      <c r="D40" t="s">
        <v>1102</v>
      </c>
      <c r="E40" t="s">
        <v>1103</v>
      </c>
      <c r="F40" t="s">
        <v>1104</v>
      </c>
      <c r="G40" t="s">
        <v>1105</v>
      </c>
      <c r="H40" t="s">
        <v>1106</v>
      </c>
      <c r="I40" t="s">
        <v>1107</v>
      </c>
      <c r="J40" t="s">
        <v>1108</v>
      </c>
      <c r="K40" t="s">
        <v>1100</v>
      </c>
      <c r="L40" t="s">
        <v>1100</v>
      </c>
      <c r="M40" t="s">
        <v>1100</v>
      </c>
      <c r="N40" t="s">
        <v>1100</v>
      </c>
      <c r="O40" t="s">
        <v>1100</v>
      </c>
      <c r="P40" t="s">
        <v>1109</v>
      </c>
      <c r="Q40" t="s">
        <v>1100</v>
      </c>
      <c r="R40" t="s">
        <v>1110</v>
      </c>
      <c r="S40" t="s">
        <v>1111</v>
      </c>
      <c r="T40" t="s">
        <v>1100</v>
      </c>
      <c r="U40" t="s">
        <v>1100</v>
      </c>
      <c r="V40" t="s">
        <v>1100</v>
      </c>
      <c r="W40" t="s">
        <v>1100</v>
      </c>
      <c r="X40" t="s">
        <v>1112</v>
      </c>
      <c r="Y40" t="s">
        <v>1113</v>
      </c>
      <c r="Z40" t="s">
        <v>1116</v>
      </c>
      <c r="AA40" t="s">
        <v>1114</v>
      </c>
      <c r="AB40" t="s">
        <v>1100</v>
      </c>
      <c r="AC40" t="s">
        <v>1115</v>
      </c>
      <c r="AD40" t="s">
        <v>1114</v>
      </c>
      <c r="AE40" t="s">
        <v>1105</v>
      </c>
      <c r="AF40" t="s">
        <v>1100</v>
      </c>
      <c r="AG40" t="s">
        <v>1104</v>
      </c>
      <c r="AH40" t="s">
        <v>1116</v>
      </c>
      <c r="AI40" t="s">
        <v>1117</v>
      </c>
      <c r="AJ40" t="s">
        <v>1108</v>
      </c>
      <c r="AK40" t="s">
        <v>1100</v>
      </c>
      <c r="AL40" t="s">
        <v>1100</v>
      </c>
      <c r="AM40" t="s">
        <v>1118</v>
      </c>
      <c r="AN40" t="s">
        <v>1100</v>
      </c>
      <c r="AO40" t="s">
        <v>1100</v>
      </c>
      <c r="AP40" t="s">
        <v>1104</v>
      </c>
      <c r="AQ40" t="s">
        <v>1119</v>
      </c>
      <c r="AR40" t="s">
        <v>1104</v>
      </c>
    </row>
    <row r="41" spans="1:44" x14ac:dyDescent="0.3">
      <c r="A41" s="81" t="s">
        <v>1120</v>
      </c>
      <c r="B41" t="s">
        <v>1121</v>
      </c>
      <c r="C41" t="s">
        <v>1122</v>
      </c>
      <c r="D41" t="s">
        <v>2259</v>
      </c>
      <c r="E41" t="s">
        <v>1123</v>
      </c>
      <c r="F41" t="s">
        <v>1124</v>
      </c>
      <c r="G41" t="s">
        <v>1125</v>
      </c>
      <c r="H41" t="s">
        <v>1126</v>
      </c>
      <c r="I41" t="s">
        <v>1127</v>
      </c>
      <c r="J41" t="s">
        <v>1128</v>
      </c>
      <c r="K41" t="s">
        <v>1129</v>
      </c>
      <c r="L41" t="s">
        <v>1130</v>
      </c>
      <c r="M41" t="s">
        <v>1131</v>
      </c>
      <c r="N41" t="s">
        <v>2567</v>
      </c>
      <c r="O41" t="s">
        <v>1120</v>
      </c>
      <c r="P41" t="s">
        <v>2308</v>
      </c>
      <c r="Q41" t="s">
        <v>1132</v>
      </c>
      <c r="R41" t="s">
        <v>1133</v>
      </c>
      <c r="S41" t="s">
        <v>1134</v>
      </c>
      <c r="T41" t="s">
        <v>1135</v>
      </c>
      <c r="U41" t="s">
        <v>1136</v>
      </c>
      <c r="V41" t="s">
        <v>1120</v>
      </c>
      <c r="W41" t="s">
        <v>1137</v>
      </c>
      <c r="X41" t="s">
        <v>1138</v>
      </c>
      <c r="Y41" t="s">
        <v>1139</v>
      </c>
      <c r="Z41" t="s">
        <v>1140</v>
      </c>
      <c r="AA41" t="s">
        <v>1141</v>
      </c>
      <c r="AB41" t="s">
        <v>1142</v>
      </c>
      <c r="AC41" t="s">
        <v>1143</v>
      </c>
      <c r="AD41" t="s">
        <v>1144</v>
      </c>
      <c r="AE41" t="s">
        <v>1125</v>
      </c>
      <c r="AF41" t="s">
        <v>1145</v>
      </c>
      <c r="AG41" t="s">
        <v>1124</v>
      </c>
      <c r="AH41" t="s">
        <v>1146</v>
      </c>
      <c r="AI41" t="s">
        <v>2305</v>
      </c>
      <c r="AJ41" t="s">
        <v>1120</v>
      </c>
      <c r="AK41" t="s">
        <v>1137</v>
      </c>
      <c r="AL41" t="s">
        <v>1142</v>
      </c>
      <c r="AM41" t="s">
        <v>1147</v>
      </c>
      <c r="AN41" t="s">
        <v>1123</v>
      </c>
      <c r="AO41" t="s">
        <v>1148</v>
      </c>
      <c r="AP41" t="s">
        <v>1149</v>
      </c>
      <c r="AQ41" t="s">
        <v>1150</v>
      </c>
      <c r="AR41" t="s">
        <v>1124</v>
      </c>
    </row>
    <row r="42" spans="1:44" x14ac:dyDescent="0.3">
      <c r="A42" s="81" t="s">
        <v>1151</v>
      </c>
      <c r="B42" t="s">
        <v>1152</v>
      </c>
      <c r="C42" t="s">
        <v>1153</v>
      </c>
      <c r="D42" t="s">
        <v>1154</v>
      </c>
      <c r="E42" t="s">
        <v>1151</v>
      </c>
      <c r="F42" t="s">
        <v>1155</v>
      </c>
      <c r="G42" t="s">
        <v>1151</v>
      </c>
      <c r="H42" t="s">
        <v>1156</v>
      </c>
      <c r="I42" t="s">
        <v>1156</v>
      </c>
      <c r="J42" t="s">
        <v>1151</v>
      </c>
      <c r="K42" t="s">
        <v>1151</v>
      </c>
      <c r="L42" t="s">
        <v>1151</v>
      </c>
      <c r="M42" t="s">
        <v>1157</v>
      </c>
      <c r="N42" t="s">
        <v>1151</v>
      </c>
      <c r="O42" t="s">
        <v>1158</v>
      </c>
      <c r="P42" t="s">
        <v>1159</v>
      </c>
      <c r="Q42" t="s">
        <v>1160</v>
      </c>
      <c r="R42" t="s">
        <v>1161</v>
      </c>
      <c r="S42" t="s">
        <v>1162</v>
      </c>
      <c r="T42" t="s">
        <v>1163</v>
      </c>
      <c r="U42" t="s">
        <v>1151</v>
      </c>
      <c r="V42" t="s">
        <v>1151</v>
      </c>
      <c r="W42" t="s">
        <v>1151</v>
      </c>
      <c r="X42" t="s">
        <v>1164</v>
      </c>
      <c r="Y42" t="s">
        <v>1151</v>
      </c>
      <c r="Z42" t="s">
        <v>1165</v>
      </c>
      <c r="AA42" t="s">
        <v>1166</v>
      </c>
      <c r="AB42" t="s">
        <v>1151</v>
      </c>
      <c r="AC42" t="s">
        <v>1167</v>
      </c>
      <c r="AD42" t="s">
        <v>1168</v>
      </c>
      <c r="AE42" t="s">
        <v>1151</v>
      </c>
      <c r="AF42" t="s">
        <v>1151</v>
      </c>
      <c r="AG42" t="s">
        <v>1165</v>
      </c>
      <c r="AH42" t="s">
        <v>1165</v>
      </c>
      <c r="AI42" t="s">
        <v>1163</v>
      </c>
      <c r="AJ42" t="s">
        <v>1151</v>
      </c>
      <c r="AK42" t="s">
        <v>1151</v>
      </c>
      <c r="AL42" t="s">
        <v>1151</v>
      </c>
      <c r="AM42" t="s">
        <v>1169</v>
      </c>
      <c r="AN42" t="s">
        <v>1170</v>
      </c>
      <c r="AO42" t="s">
        <v>1151</v>
      </c>
      <c r="AP42" t="s">
        <v>1165</v>
      </c>
      <c r="AQ42" t="s">
        <v>1171</v>
      </c>
      <c r="AR42" t="s">
        <v>1165</v>
      </c>
    </row>
    <row r="43" spans="1:44" x14ac:dyDescent="0.3">
      <c r="A43" s="81" t="s">
        <v>1172</v>
      </c>
      <c r="B43" t="s">
        <v>1173</v>
      </c>
      <c r="C43" t="s">
        <v>1174</v>
      </c>
      <c r="D43" t="s">
        <v>1175</v>
      </c>
      <c r="E43" t="s">
        <v>1172</v>
      </c>
      <c r="F43" t="s">
        <v>1176</v>
      </c>
      <c r="G43" t="s">
        <v>1177</v>
      </c>
      <c r="H43" t="s">
        <v>1178</v>
      </c>
      <c r="I43" t="s">
        <v>1179</v>
      </c>
      <c r="J43" t="s">
        <v>1180</v>
      </c>
      <c r="K43" t="s">
        <v>1181</v>
      </c>
      <c r="L43" t="s">
        <v>1172</v>
      </c>
      <c r="M43" t="s">
        <v>1172</v>
      </c>
      <c r="N43" t="s">
        <v>1172</v>
      </c>
      <c r="O43" t="s">
        <v>1172</v>
      </c>
      <c r="P43" t="s">
        <v>1182</v>
      </c>
      <c r="Q43" t="s">
        <v>1172</v>
      </c>
      <c r="R43" t="s">
        <v>1183</v>
      </c>
      <c r="S43" t="s">
        <v>1184</v>
      </c>
      <c r="T43" t="s">
        <v>1185</v>
      </c>
      <c r="U43" t="s">
        <v>1172</v>
      </c>
      <c r="V43" t="s">
        <v>1186</v>
      </c>
      <c r="W43" t="s">
        <v>1172</v>
      </c>
      <c r="X43" t="s">
        <v>1187</v>
      </c>
      <c r="Y43" t="s">
        <v>1180</v>
      </c>
      <c r="Z43" t="s">
        <v>1188</v>
      </c>
      <c r="AA43" t="s">
        <v>1189</v>
      </c>
      <c r="AB43" t="s">
        <v>1172</v>
      </c>
      <c r="AC43" t="s">
        <v>1190</v>
      </c>
      <c r="AD43" t="s">
        <v>1172</v>
      </c>
      <c r="AE43" t="s">
        <v>1185</v>
      </c>
      <c r="AF43" t="s">
        <v>1172</v>
      </c>
      <c r="AG43" t="s">
        <v>1176</v>
      </c>
      <c r="AH43" t="s">
        <v>1188</v>
      </c>
      <c r="AI43" t="s">
        <v>1185</v>
      </c>
      <c r="AJ43" t="s">
        <v>1180</v>
      </c>
      <c r="AK43" t="s">
        <v>1172</v>
      </c>
      <c r="AL43" t="s">
        <v>1172</v>
      </c>
      <c r="AM43" t="s">
        <v>1191</v>
      </c>
      <c r="AN43" t="s">
        <v>1192</v>
      </c>
      <c r="AO43" t="s">
        <v>1172</v>
      </c>
      <c r="AP43" t="s">
        <v>1193</v>
      </c>
      <c r="AQ43" t="s">
        <v>1194</v>
      </c>
      <c r="AR43" t="s">
        <v>1176</v>
      </c>
    </row>
    <row r="44" spans="1:44" x14ac:dyDescent="0.3">
      <c r="A44" s="81" t="s">
        <v>1195</v>
      </c>
      <c r="B44" t="s">
        <v>1195</v>
      </c>
      <c r="C44" t="s">
        <v>1196</v>
      </c>
      <c r="D44" t="s">
        <v>1197</v>
      </c>
      <c r="E44" t="s">
        <v>1198</v>
      </c>
      <c r="F44" t="s">
        <v>1199</v>
      </c>
      <c r="G44" t="s">
        <v>1200</v>
      </c>
      <c r="H44" t="s">
        <v>1201</v>
      </c>
      <c r="I44" t="s">
        <v>1202</v>
      </c>
      <c r="J44" t="s">
        <v>1203</v>
      </c>
      <c r="K44" t="s">
        <v>1204</v>
      </c>
      <c r="L44" t="s">
        <v>1205</v>
      </c>
      <c r="M44" t="s">
        <v>1206</v>
      </c>
      <c r="N44" t="s">
        <v>2568</v>
      </c>
      <c r="O44" t="s">
        <v>1207</v>
      </c>
      <c r="P44" t="s">
        <v>1208</v>
      </c>
      <c r="Q44" t="s">
        <v>1209</v>
      </c>
      <c r="R44" t="s">
        <v>1210</v>
      </c>
      <c r="S44" t="s">
        <v>1211</v>
      </c>
      <c r="T44" t="s">
        <v>1212</v>
      </c>
      <c r="U44" t="s">
        <v>1213</v>
      </c>
      <c r="V44" t="s">
        <v>1214</v>
      </c>
      <c r="W44" t="s">
        <v>1215</v>
      </c>
      <c r="X44" t="s">
        <v>1216</v>
      </c>
      <c r="Y44" t="s">
        <v>1217</v>
      </c>
      <c r="Z44" t="s">
        <v>2577</v>
      </c>
      <c r="AA44" t="s">
        <v>1218</v>
      </c>
      <c r="AB44" t="s">
        <v>1219</v>
      </c>
      <c r="AC44" t="s">
        <v>1220</v>
      </c>
      <c r="AD44" t="s">
        <v>1221</v>
      </c>
      <c r="AE44" t="s">
        <v>1222</v>
      </c>
      <c r="AF44" t="s">
        <v>1223</v>
      </c>
      <c r="AG44" t="s">
        <v>1224</v>
      </c>
      <c r="AH44" t="s">
        <v>1225</v>
      </c>
      <c r="AI44" t="s">
        <v>2306</v>
      </c>
      <c r="AJ44" t="s">
        <v>1203</v>
      </c>
      <c r="AK44" t="s">
        <v>1200</v>
      </c>
      <c r="AL44" t="s">
        <v>1205</v>
      </c>
      <c r="AM44" t="s">
        <v>1226</v>
      </c>
      <c r="AN44" t="s">
        <v>1227</v>
      </c>
      <c r="AO44" t="s">
        <v>1228</v>
      </c>
      <c r="AP44" t="s">
        <v>1229</v>
      </c>
      <c r="AQ44" t="s">
        <v>1230</v>
      </c>
      <c r="AR44" t="s">
        <v>1231</v>
      </c>
    </row>
    <row r="45" spans="1:44" x14ac:dyDescent="0.3">
      <c r="A45" s="81" t="s">
        <v>2171</v>
      </c>
      <c r="B45" t="s">
        <v>2225</v>
      </c>
      <c r="C45" t="s">
        <v>2226</v>
      </c>
      <c r="D45" t="s">
        <v>2258</v>
      </c>
      <c r="E45" t="s">
        <v>2227</v>
      </c>
      <c r="F45" t="s">
        <v>2228</v>
      </c>
      <c r="G45" t="s">
        <v>2229</v>
      </c>
      <c r="H45" t="s">
        <v>2230</v>
      </c>
      <c r="I45" t="s">
        <v>2231</v>
      </c>
      <c r="J45" t="s">
        <v>2232</v>
      </c>
      <c r="K45" t="s">
        <v>2233</v>
      </c>
      <c r="L45" t="s">
        <v>2234</v>
      </c>
      <c r="M45" t="s">
        <v>2234</v>
      </c>
      <c r="N45" t="s">
        <v>2579</v>
      </c>
      <c r="O45" t="s">
        <v>2235</v>
      </c>
      <c r="P45" t="s">
        <v>2236</v>
      </c>
      <c r="Q45" t="s">
        <v>2234</v>
      </c>
      <c r="R45" t="s">
        <v>2237</v>
      </c>
      <c r="S45" t="s">
        <v>2238</v>
      </c>
      <c r="T45" t="s">
        <v>2239</v>
      </c>
      <c r="U45" t="s">
        <v>2240</v>
      </c>
      <c r="V45" t="s">
        <v>2171</v>
      </c>
      <c r="W45" t="s">
        <v>2241</v>
      </c>
      <c r="X45" t="s">
        <v>2242</v>
      </c>
      <c r="Y45" t="s">
        <v>2243</v>
      </c>
      <c r="Z45" t="s">
        <v>2244</v>
      </c>
      <c r="AA45" t="s">
        <v>2245</v>
      </c>
      <c r="AB45" t="s">
        <v>2234</v>
      </c>
      <c r="AC45" t="s">
        <v>2246</v>
      </c>
      <c r="AD45" t="s">
        <v>2247</v>
      </c>
      <c r="AE45" t="s">
        <v>2248</v>
      </c>
      <c r="AF45" t="s">
        <v>2241</v>
      </c>
      <c r="AG45" t="s">
        <v>2249</v>
      </c>
      <c r="AH45" t="s">
        <v>2250</v>
      </c>
      <c r="AI45" t="s">
        <v>2251</v>
      </c>
      <c r="AJ45" t="s">
        <v>2232</v>
      </c>
      <c r="AK45" t="s">
        <v>2241</v>
      </c>
      <c r="AL45" t="s">
        <v>2252</v>
      </c>
      <c r="AM45" t="s">
        <v>2253</v>
      </c>
      <c r="AN45" t="s">
        <v>2254</v>
      </c>
      <c r="AO45" t="s">
        <v>2255</v>
      </c>
      <c r="AP45" t="s">
        <v>2256</v>
      </c>
      <c r="AQ45" t="s">
        <v>2257</v>
      </c>
      <c r="AR45" t="s">
        <v>2249</v>
      </c>
    </row>
    <row r="46" spans="1:44" x14ac:dyDescent="0.3">
      <c r="A46" s="81" t="s">
        <v>1232</v>
      </c>
      <c r="B46" t="s">
        <v>1233</v>
      </c>
      <c r="C46" t="s">
        <v>1234</v>
      </c>
      <c r="D46" t="s">
        <v>1235</v>
      </c>
      <c r="E46" t="s">
        <v>1236</v>
      </c>
      <c r="F46" t="s">
        <v>1237</v>
      </c>
      <c r="G46" t="s">
        <v>1238</v>
      </c>
      <c r="H46" t="s">
        <v>1239</v>
      </c>
      <c r="I46" t="s">
        <v>1240</v>
      </c>
      <c r="J46" t="s">
        <v>1241</v>
      </c>
      <c r="K46" t="s">
        <v>1242</v>
      </c>
      <c r="L46" t="s">
        <v>1232</v>
      </c>
      <c r="M46" t="s">
        <v>1243</v>
      </c>
      <c r="N46" t="s">
        <v>1232</v>
      </c>
      <c r="O46" t="s">
        <v>1244</v>
      </c>
      <c r="P46" t="s">
        <v>2309</v>
      </c>
      <c r="Q46" t="s">
        <v>1232</v>
      </c>
      <c r="R46" t="s">
        <v>1245</v>
      </c>
      <c r="S46" t="s">
        <v>1246</v>
      </c>
      <c r="T46" t="s">
        <v>1247</v>
      </c>
      <c r="U46" t="s">
        <v>1248</v>
      </c>
      <c r="V46" t="s">
        <v>1232</v>
      </c>
      <c r="W46" t="s">
        <v>1249</v>
      </c>
      <c r="X46" t="s">
        <v>1250</v>
      </c>
      <c r="Y46" t="s">
        <v>1251</v>
      </c>
      <c r="Z46" t="s">
        <v>1252</v>
      </c>
      <c r="AA46" t="s">
        <v>1253</v>
      </c>
      <c r="AB46" t="s">
        <v>1232</v>
      </c>
      <c r="AC46" t="s">
        <v>1254</v>
      </c>
      <c r="AD46" t="s">
        <v>1247</v>
      </c>
      <c r="AE46" t="s">
        <v>1255</v>
      </c>
      <c r="AF46" t="s">
        <v>1247</v>
      </c>
      <c r="AG46" t="s">
        <v>1237</v>
      </c>
      <c r="AH46" t="s">
        <v>1256</v>
      </c>
      <c r="AI46" t="s">
        <v>1257</v>
      </c>
      <c r="AJ46" t="s">
        <v>1251</v>
      </c>
      <c r="AK46" t="s">
        <v>1255</v>
      </c>
      <c r="AL46" t="s">
        <v>1232</v>
      </c>
      <c r="AM46" t="s">
        <v>1258</v>
      </c>
      <c r="AN46" t="s">
        <v>1259</v>
      </c>
      <c r="AO46" t="s">
        <v>1260</v>
      </c>
      <c r="AP46" t="s">
        <v>1261</v>
      </c>
      <c r="AQ46" t="s">
        <v>1262</v>
      </c>
      <c r="AR46" t="s">
        <v>1237</v>
      </c>
    </row>
    <row r="47" spans="1:44" x14ac:dyDescent="0.3">
      <c r="A47" s="81" t="s">
        <v>2167</v>
      </c>
      <c r="B47" t="s">
        <v>2167</v>
      </c>
      <c r="C47" t="s">
        <v>2260</v>
      </c>
      <c r="D47" t="s">
        <v>2261</v>
      </c>
      <c r="E47" t="s">
        <v>2262</v>
      </c>
      <c r="F47" t="s">
        <v>2263</v>
      </c>
      <c r="G47" t="s">
        <v>2264</v>
      </c>
      <c r="H47" t="s">
        <v>2265</v>
      </c>
      <c r="I47" t="s">
        <v>2266</v>
      </c>
      <c r="J47" t="s">
        <v>2267</v>
      </c>
      <c r="K47" t="s">
        <v>2268</v>
      </c>
      <c r="L47" t="s">
        <v>2269</v>
      </c>
      <c r="M47" t="s">
        <v>2270</v>
      </c>
      <c r="N47" t="s">
        <v>2167</v>
      </c>
      <c r="O47" t="s">
        <v>2271</v>
      </c>
      <c r="P47" t="s">
        <v>2272</v>
      </c>
      <c r="Q47" t="s">
        <v>2269</v>
      </c>
      <c r="R47" t="s">
        <v>2273</v>
      </c>
      <c r="S47" t="s">
        <v>2274</v>
      </c>
      <c r="T47" t="s">
        <v>2275</v>
      </c>
      <c r="U47" t="s">
        <v>2167</v>
      </c>
      <c r="V47" t="s">
        <v>2276</v>
      </c>
      <c r="W47" t="s">
        <v>2167</v>
      </c>
      <c r="X47" t="s">
        <v>2277</v>
      </c>
      <c r="Y47" t="s">
        <v>2278</v>
      </c>
      <c r="Z47" t="s">
        <v>2279</v>
      </c>
      <c r="AA47" t="s">
        <v>2280</v>
      </c>
      <c r="AB47" t="s">
        <v>2167</v>
      </c>
      <c r="AC47" t="s">
        <v>2281</v>
      </c>
      <c r="AD47" t="s">
        <v>2167</v>
      </c>
      <c r="AE47" t="s">
        <v>2282</v>
      </c>
      <c r="AF47" t="s">
        <v>2167</v>
      </c>
      <c r="AG47" t="s">
        <v>2283</v>
      </c>
      <c r="AH47" t="s">
        <v>2279</v>
      </c>
      <c r="AI47" t="s">
        <v>2268</v>
      </c>
      <c r="AJ47" t="s">
        <v>2267</v>
      </c>
      <c r="AK47" t="s">
        <v>2167</v>
      </c>
      <c r="AL47" t="s">
        <v>2269</v>
      </c>
      <c r="AM47" t="s">
        <v>2284</v>
      </c>
      <c r="AN47" t="s">
        <v>2285</v>
      </c>
      <c r="AO47" t="s">
        <v>2167</v>
      </c>
      <c r="AP47" t="s">
        <v>2286</v>
      </c>
      <c r="AQ47" t="s">
        <v>2287</v>
      </c>
      <c r="AR47" t="s">
        <v>2283</v>
      </c>
    </row>
    <row r="48" spans="1:44" x14ac:dyDescent="0.3">
      <c r="A48" s="81" t="s">
        <v>2164</v>
      </c>
      <c r="B48" t="s">
        <v>2164</v>
      </c>
      <c r="C48" t="s">
        <v>2288</v>
      </c>
      <c r="D48" t="s">
        <v>2289</v>
      </c>
      <c r="E48" t="s">
        <v>2164</v>
      </c>
      <c r="F48" t="s">
        <v>2290</v>
      </c>
      <c r="G48" t="s">
        <v>2291</v>
      </c>
      <c r="H48" t="s">
        <v>2292</v>
      </c>
      <c r="I48" t="s">
        <v>2293</v>
      </c>
      <c r="J48" t="s">
        <v>2164</v>
      </c>
      <c r="K48" t="s">
        <v>2164</v>
      </c>
      <c r="L48" t="s">
        <v>2164</v>
      </c>
      <c r="M48" t="s">
        <v>2164</v>
      </c>
      <c r="N48" t="s">
        <v>2164</v>
      </c>
      <c r="O48" t="s">
        <v>2294</v>
      </c>
      <c r="P48" t="s">
        <v>2310</v>
      </c>
      <c r="Q48" t="s">
        <v>2164</v>
      </c>
      <c r="R48" t="s">
        <v>2295</v>
      </c>
      <c r="S48" t="s">
        <v>2296</v>
      </c>
      <c r="T48" t="s">
        <v>2164</v>
      </c>
      <c r="U48" t="s">
        <v>2164</v>
      </c>
      <c r="V48" t="s">
        <v>2164</v>
      </c>
      <c r="W48" t="s">
        <v>2298</v>
      </c>
      <c r="X48" t="s">
        <v>2299</v>
      </c>
      <c r="Y48" t="s">
        <v>2164</v>
      </c>
      <c r="Z48" t="s">
        <v>2290</v>
      </c>
      <c r="AA48" t="s">
        <v>2298</v>
      </c>
      <c r="AB48" t="s">
        <v>2164</v>
      </c>
      <c r="AC48" t="s">
        <v>2300</v>
      </c>
      <c r="AD48" t="s">
        <v>2164</v>
      </c>
      <c r="AE48" t="s">
        <v>2164</v>
      </c>
      <c r="AF48" t="s">
        <v>2164</v>
      </c>
      <c r="AG48" t="s">
        <v>2290</v>
      </c>
      <c r="AH48" t="s">
        <v>2290</v>
      </c>
      <c r="AI48" t="s">
        <v>2164</v>
      </c>
      <c r="AJ48" t="s">
        <v>2164</v>
      </c>
      <c r="AK48" t="s">
        <v>2291</v>
      </c>
      <c r="AL48" t="s">
        <v>2297</v>
      </c>
      <c r="AM48" t="s">
        <v>2301</v>
      </c>
      <c r="AN48" t="s">
        <v>2164</v>
      </c>
      <c r="AO48" t="s">
        <v>2164</v>
      </c>
      <c r="AP48" t="s">
        <v>2290</v>
      </c>
      <c r="AQ48" t="s">
        <v>2302</v>
      </c>
      <c r="AR48" t="s">
        <v>2290</v>
      </c>
    </row>
    <row r="49" spans="1:44" x14ac:dyDescent="0.3">
      <c r="A49" s="81" t="s">
        <v>1263</v>
      </c>
      <c r="B49" t="s">
        <v>1264</v>
      </c>
      <c r="C49" t="s">
        <v>1265</v>
      </c>
      <c r="D49" t="s">
        <v>1266</v>
      </c>
      <c r="E49" t="s">
        <v>1267</v>
      </c>
      <c r="F49" t="s">
        <v>1268</v>
      </c>
      <c r="G49" t="s">
        <v>1269</v>
      </c>
      <c r="H49" t="s">
        <v>1270</v>
      </c>
      <c r="I49" t="s">
        <v>1271</v>
      </c>
      <c r="J49" t="s">
        <v>1272</v>
      </c>
      <c r="K49" t="s">
        <v>1273</v>
      </c>
      <c r="L49" t="s">
        <v>1274</v>
      </c>
      <c r="M49" t="s">
        <v>1274</v>
      </c>
      <c r="N49" t="s">
        <v>1277</v>
      </c>
      <c r="O49" t="s">
        <v>1275</v>
      </c>
      <c r="P49" t="s">
        <v>1276</v>
      </c>
      <c r="Q49" t="s">
        <v>1277</v>
      </c>
      <c r="R49" t="s">
        <v>1278</v>
      </c>
      <c r="S49" t="s">
        <v>1279</v>
      </c>
      <c r="T49" t="s">
        <v>1280</v>
      </c>
      <c r="U49" t="s">
        <v>1281</v>
      </c>
      <c r="V49" t="s">
        <v>1263</v>
      </c>
      <c r="W49" t="s">
        <v>1263</v>
      </c>
      <c r="X49" t="s">
        <v>1282</v>
      </c>
      <c r="Y49" t="s">
        <v>1272</v>
      </c>
      <c r="Z49" t="s">
        <v>1283</v>
      </c>
      <c r="AA49" t="s">
        <v>1284</v>
      </c>
      <c r="AB49" t="s">
        <v>1277</v>
      </c>
      <c r="AC49" t="s">
        <v>1285</v>
      </c>
      <c r="AD49" t="s">
        <v>1286</v>
      </c>
      <c r="AE49" t="s">
        <v>1269</v>
      </c>
      <c r="AF49" t="s">
        <v>1281</v>
      </c>
      <c r="AG49" t="s">
        <v>1287</v>
      </c>
      <c r="AH49" t="s">
        <v>1283</v>
      </c>
      <c r="AI49" t="s">
        <v>1273</v>
      </c>
      <c r="AJ49" t="s">
        <v>1272</v>
      </c>
      <c r="AK49" t="s">
        <v>1281</v>
      </c>
      <c r="AL49" t="s">
        <v>1288</v>
      </c>
      <c r="AM49" t="s">
        <v>1289</v>
      </c>
      <c r="AN49" t="s">
        <v>1290</v>
      </c>
      <c r="AO49" t="s">
        <v>1291</v>
      </c>
      <c r="AP49" t="s">
        <v>1292</v>
      </c>
      <c r="AQ49" t="s">
        <v>1293</v>
      </c>
      <c r="AR49" t="s">
        <v>1287</v>
      </c>
    </row>
    <row r="50" spans="1:44" x14ac:dyDescent="0.3">
      <c r="A50" s="81" t="s">
        <v>1294</v>
      </c>
      <c r="B50" t="s">
        <v>1295</v>
      </c>
      <c r="C50" t="s">
        <v>1296</v>
      </c>
      <c r="D50" t="s">
        <v>1297</v>
      </c>
      <c r="E50" t="s">
        <v>1298</v>
      </c>
      <c r="F50" t="s">
        <v>1299</v>
      </c>
      <c r="G50" t="s">
        <v>1300</v>
      </c>
      <c r="H50" t="s">
        <v>1301</v>
      </c>
      <c r="I50" t="s">
        <v>1302</v>
      </c>
      <c r="J50" t="s">
        <v>1303</v>
      </c>
      <c r="K50" t="s">
        <v>1304</v>
      </c>
      <c r="L50" t="s">
        <v>1305</v>
      </c>
      <c r="M50" t="s">
        <v>1306</v>
      </c>
      <c r="N50" t="s">
        <v>2569</v>
      </c>
      <c r="O50" t="s">
        <v>1307</v>
      </c>
      <c r="P50" t="s">
        <v>2311</v>
      </c>
      <c r="Q50" t="s">
        <v>1308</v>
      </c>
      <c r="R50" t="s">
        <v>1309</v>
      </c>
      <c r="S50" t="s">
        <v>1310</v>
      </c>
      <c r="T50" t="s">
        <v>1311</v>
      </c>
      <c r="U50" t="s">
        <v>1312</v>
      </c>
      <c r="V50" t="s">
        <v>1313</v>
      </c>
      <c r="W50" t="s">
        <v>1314</v>
      </c>
      <c r="X50" t="s">
        <v>1315</v>
      </c>
      <c r="Y50" t="s">
        <v>1316</v>
      </c>
      <c r="Z50" t="s">
        <v>2578</v>
      </c>
      <c r="AA50" t="s">
        <v>1317</v>
      </c>
      <c r="AB50" t="s">
        <v>1305</v>
      </c>
      <c r="AC50" t="s">
        <v>1318</v>
      </c>
      <c r="AD50" t="s">
        <v>1319</v>
      </c>
      <c r="AE50" t="s">
        <v>1320</v>
      </c>
      <c r="AF50" t="s">
        <v>1314</v>
      </c>
      <c r="AG50" t="s">
        <v>1299</v>
      </c>
      <c r="AH50" t="s">
        <v>1321</v>
      </c>
      <c r="AI50" t="s">
        <v>2303</v>
      </c>
      <c r="AJ50" t="s">
        <v>1322</v>
      </c>
      <c r="AK50" t="s">
        <v>1323</v>
      </c>
      <c r="AL50" t="s">
        <v>1305</v>
      </c>
      <c r="AM50" t="s">
        <v>1324</v>
      </c>
      <c r="AN50" t="s">
        <v>1325</v>
      </c>
      <c r="AO50" t="s">
        <v>1326</v>
      </c>
      <c r="AP50" t="s">
        <v>1327</v>
      </c>
      <c r="AQ50" t="s">
        <v>1328</v>
      </c>
      <c r="AR50" t="s">
        <v>1299</v>
      </c>
    </row>
    <row r="51" spans="1:44" x14ac:dyDescent="0.3">
      <c r="A51" s="81" t="s">
        <v>1329</v>
      </c>
      <c r="B51" t="s">
        <v>1330</v>
      </c>
      <c r="C51" t="s">
        <v>1331</v>
      </c>
      <c r="D51" t="s">
        <v>1332</v>
      </c>
      <c r="E51" t="s">
        <v>1333</v>
      </c>
      <c r="F51" t="s">
        <v>1334</v>
      </c>
      <c r="G51" t="s">
        <v>1335</v>
      </c>
      <c r="H51" t="s">
        <v>1336</v>
      </c>
      <c r="I51" t="s">
        <v>1337</v>
      </c>
      <c r="J51" t="s">
        <v>1338</v>
      </c>
      <c r="K51" t="s">
        <v>1339</v>
      </c>
      <c r="L51" t="s">
        <v>1340</v>
      </c>
      <c r="M51" t="s">
        <v>1341</v>
      </c>
      <c r="N51" t="s">
        <v>1329</v>
      </c>
      <c r="O51" t="s">
        <v>1342</v>
      </c>
      <c r="P51" t="s">
        <v>1343</v>
      </c>
      <c r="Q51" t="s">
        <v>1340</v>
      </c>
      <c r="R51" t="s">
        <v>1344</v>
      </c>
      <c r="S51" t="s">
        <v>1345</v>
      </c>
      <c r="T51" t="s">
        <v>1346</v>
      </c>
      <c r="U51" t="s">
        <v>1329</v>
      </c>
      <c r="V51" t="s">
        <v>1329</v>
      </c>
      <c r="W51" t="s">
        <v>1329</v>
      </c>
      <c r="X51" t="s">
        <v>1347</v>
      </c>
      <c r="Y51" t="s">
        <v>1338</v>
      </c>
      <c r="Z51" t="s">
        <v>1348</v>
      </c>
      <c r="AA51" t="s">
        <v>1349</v>
      </c>
      <c r="AB51" t="s">
        <v>1329</v>
      </c>
      <c r="AC51" t="s">
        <v>1350</v>
      </c>
      <c r="AD51" t="s">
        <v>1329</v>
      </c>
      <c r="AE51" t="s">
        <v>1351</v>
      </c>
      <c r="AF51" t="s">
        <v>1329</v>
      </c>
      <c r="AG51" t="s">
        <v>1334</v>
      </c>
      <c r="AH51" t="s">
        <v>1352</v>
      </c>
      <c r="AI51" t="s">
        <v>1351</v>
      </c>
      <c r="AJ51" t="s">
        <v>1353</v>
      </c>
      <c r="AK51" t="s">
        <v>1329</v>
      </c>
      <c r="AL51" t="s">
        <v>1340</v>
      </c>
      <c r="AM51" t="s">
        <v>1354</v>
      </c>
      <c r="AN51" t="s">
        <v>1355</v>
      </c>
      <c r="AO51" t="s">
        <v>1356</v>
      </c>
      <c r="AP51" t="s">
        <v>1357</v>
      </c>
      <c r="AQ51" t="s">
        <v>1358</v>
      </c>
      <c r="AR51" t="s">
        <v>1334</v>
      </c>
    </row>
    <row r="52" spans="1:44" x14ac:dyDescent="0.3">
      <c r="A52" s="81" t="s">
        <v>1359</v>
      </c>
      <c r="B52" t="s">
        <v>1360</v>
      </c>
      <c r="C52" t="s">
        <v>1361</v>
      </c>
      <c r="D52" t="s">
        <v>1362</v>
      </c>
      <c r="E52" t="s">
        <v>1363</v>
      </c>
      <c r="F52" t="s">
        <v>1364</v>
      </c>
      <c r="G52" t="s">
        <v>1365</v>
      </c>
      <c r="H52" t="s">
        <v>1366</v>
      </c>
      <c r="I52" t="s">
        <v>1367</v>
      </c>
      <c r="J52" t="s">
        <v>1368</v>
      </c>
      <c r="K52" t="s">
        <v>1369</v>
      </c>
      <c r="L52" t="s">
        <v>1359</v>
      </c>
      <c r="M52" t="s">
        <v>1359</v>
      </c>
      <c r="N52" t="s">
        <v>1359</v>
      </c>
      <c r="O52" t="s">
        <v>1370</v>
      </c>
      <c r="P52" t="s">
        <v>2312</v>
      </c>
      <c r="Q52" t="s">
        <v>1371</v>
      </c>
      <c r="R52" t="s">
        <v>1372</v>
      </c>
      <c r="S52" t="s">
        <v>1373</v>
      </c>
      <c r="T52" t="s">
        <v>1359</v>
      </c>
      <c r="U52" t="s">
        <v>1374</v>
      </c>
      <c r="V52" t="s">
        <v>1359</v>
      </c>
      <c r="W52" t="s">
        <v>1359</v>
      </c>
      <c r="X52" t="s">
        <v>1375</v>
      </c>
      <c r="Y52" t="s">
        <v>1368</v>
      </c>
      <c r="Z52" t="s">
        <v>1376</v>
      </c>
      <c r="AA52" t="s">
        <v>1377</v>
      </c>
      <c r="AB52" t="s">
        <v>1359</v>
      </c>
      <c r="AC52" t="s">
        <v>1378</v>
      </c>
      <c r="AD52" t="s">
        <v>1374</v>
      </c>
      <c r="AE52" t="s">
        <v>1379</v>
      </c>
      <c r="AF52" t="s">
        <v>1380</v>
      </c>
      <c r="AG52" t="s">
        <v>1364</v>
      </c>
      <c r="AH52" t="s">
        <v>1376</v>
      </c>
      <c r="AI52" t="s">
        <v>1374</v>
      </c>
      <c r="AJ52" t="s">
        <v>1368</v>
      </c>
      <c r="AK52" t="s">
        <v>1359</v>
      </c>
      <c r="AL52" t="s">
        <v>1359</v>
      </c>
      <c r="AM52" t="s">
        <v>1381</v>
      </c>
      <c r="AN52" t="s">
        <v>1382</v>
      </c>
      <c r="AO52" t="s">
        <v>1359</v>
      </c>
      <c r="AP52" t="s">
        <v>1383</v>
      </c>
      <c r="AQ52" t="s">
        <v>1384</v>
      </c>
      <c r="AR52" t="s">
        <v>1364</v>
      </c>
    </row>
    <row r="53" spans="1:44" x14ac:dyDescent="0.3">
      <c r="A53" s="81" t="s">
        <v>2165</v>
      </c>
      <c r="B53" t="s">
        <v>2313</v>
      </c>
      <c r="C53" t="s">
        <v>2314</v>
      </c>
      <c r="D53" t="s">
        <v>2315</v>
      </c>
      <c r="E53" t="s">
        <v>2316</v>
      </c>
      <c r="F53" t="s">
        <v>2317</v>
      </c>
      <c r="G53" t="s">
        <v>2318</v>
      </c>
      <c r="H53" t="s">
        <v>2319</v>
      </c>
      <c r="I53" t="s">
        <v>2320</v>
      </c>
      <c r="J53" t="s">
        <v>2321</v>
      </c>
      <c r="K53" t="s">
        <v>2322</v>
      </c>
      <c r="L53" t="s">
        <v>2323</v>
      </c>
      <c r="M53" t="s">
        <v>2324</v>
      </c>
      <c r="N53" t="s">
        <v>2323</v>
      </c>
      <c r="O53" t="s">
        <v>2325</v>
      </c>
      <c r="P53" t="s">
        <v>2326</v>
      </c>
      <c r="Q53" t="s">
        <v>2327</v>
      </c>
      <c r="R53" t="s">
        <v>2328</v>
      </c>
      <c r="S53" t="s">
        <v>2329</v>
      </c>
      <c r="T53" t="s">
        <v>2330</v>
      </c>
      <c r="U53" t="s">
        <v>2165</v>
      </c>
      <c r="V53" t="s">
        <v>2165</v>
      </c>
      <c r="W53" t="s">
        <v>2331</v>
      </c>
      <c r="X53" t="s">
        <v>2332</v>
      </c>
      <c r="Y53" t="s">
        <v>2333</v>
      </c>
      <c r="Z53" t="s">
        <v>2334</v>
      </c>
      <c r="AA53" t="s">
        <v>2316</v>
      </c>
      <c r="AB53" t="s">
        <v>2323</v>
      </c>
      <c r="AC53" t="s">
        <v>2335</v>
      </c>
      <c r="AD53" t="s">
        <v>2336</v>
      </c>
      <c r="AE53" t="s">
        <v>2318</v>
      </c>
      <c r="AF53" t="s">
        <v>2337</v>
      </c>
      <c r="AG53" t="s">
        <v>2317</v>
      </c>
      <c r="AH53" t="s">
        <v>2334</v>
      </c>
      <c r="AI53" t="s">
        <v>2322</v>
      </c>
      <c r="AJ53" t="s">
        <v>2321</v>
      </c>
      <c r="AK53" t="s">
        <v>2318</v>
      </c>
      <c r="AL53" t="s">
        <v>2323</v>
      </c>
      <c r="AM53" t="s">
        <v>2338</v>
      </c>
      <c r="AN53" t="s">
        <v>2316</v>
      </c>
      <c r="AO53" t="s">
        <v>2339</v>
      </c>
      <c r="AP53" t="s">
        <v>2340</v>
      </c>
      <c r="AQ53" t="s">
        <v>2341</v>
      </c>
      <c r="AR53" t="s">
        <v>2317</v>
      </c>
    </row>
    <row r="54" spans="1:44" x14ac:dyDescent="0.3">
      <c r="A54" s="81" t="s">
        <v>2168</v>
      </c>
      <c r="B54" t="s">
        <v>2342</v>
      </c>
      <c r="C54" t="s">
        <v>2343</v>
      </c>
      <c r="D54" t="s">
        <v>2344</v>
      </c>
      <c r="E54" t="s">
        <v>2345</v>
      </c>
      <c r="F54" t="s">
        <v>2346</v>
      </c>
      <c r="G54" t="s">
        <v>2347</v>
      </c>
      <c r="H54" t="s">
        <v>2348</v>
      </c>
      <c r="I54" t="s">
        <v>2348</v>
      </c>
      <c r="J54" t="s">
        <v>2349</v>
      </c>
      <c r="K54" t="s">
        <v>2350</v>
      </c>
      <c r="L54" t="s">
        <v>2351</v>
      </c>
      <c r="M54" t="s">
        <v>2352</v>
      </c>
      <c r="N54" t="s">
        <v>2570</v>
      </c>
      <c r="O54" t="s">
        <v>2353</v>
      </c>
      <c r="P54" t="s">
        <v>2354</v>
      </c>
      <c r="Q54" t="s">
        <v>2355</v>
      </c>
      <c r="R54" t="s">
        <v>2356</v>
      </c>
      <c r="S54" t="s">
        <v>2357</v>
      </c>
      <c r="T54" t="s">
        <v>2358</v>
      </c>
      <c r="U54" t="s">
        <v>2359</v>
      </c>
      <c r="V54" t="s">
        <v>2360</v>
      </c>
      <c r="W54" t="s">
        <v>2361</v>
      </c>
      <c r="X54" t="s">
        <v>2362</v>
      </c>
      <c r="Y54" t="s">
        <v>2363</v>
      </c>
      <c r="Z54" t="s">
        <v>2364</v>
      </c>
      <c r="AA54" t="s">
        <v>2476</v>
      </c>
      <c r="AB54" t="s">
        <v>2351</v>
      </c>
      <c r="AC54" t="s">
        <v>2365</v>
      </c>
      <c r="AD54" t="s">
        <v>2366</v>
      </c>
      <c r="AE54" t="s">
        <v>2367</v>
      </c>
      <c r="AF54" t="s">
        <v>2368</v>
      </c>
      <c r="AG54" t="s">
        <v>2346</v>
      </c>
      <c r="AH54" t="s">
        <v>2364</v>
      </c>
      <c r="AI54" t="s">
        <v>2350</v>
      </c>
      <c r="AJ54" t="s">
        <v>2349</v>
      </c>
      <c r="AK54" t="s">
        <v>2369</v>
      </c>
      <c r="AL54" t="s">
        <v>2351</v>
      </c>
      <c r="AM54" t="s">
        <v>2370</v>
      </c>
      <c r="AN54" t="s">
        <v>2345</v>
      </c>
      <c r="AO54" t="s">
        <v>2371</v>
      </c>
      <c r="AP54" t="s">
        <v>2372</v>
      </c>
      <c r="AQ54" t="s">
        <v>2373</v>
      </c>
      <c r="AR54" t="s">
        <v>2346</v>
      </c>
    </row>
    <row r="55" spans="1:44" x14ac:dyDescent="0.3">
      <c r="A55" s="81" t="s">
        <v>1385</v>
      </c>
      <c r="B55" t="s">
        <v>1386</v>
      </c>
      <c r="C55" t="s">
        <v>1387</v>
      </c>
      <c r="D55" t="s">
        <v>1388</v>
      </c>
      <c r="E55" t="s">
        <v>1385</v>
      </c>
      <c r="F55" t="s">
        <v>1385</v>
      </c>
      <c r="G55" t="s">
        <v>1385</v>
      </c>
      <c r="H55" t="s">
        <v>1389</v>
      </c>
      <c r="I55" t="s">
        <v>1390</v>
      </c>
      <c r="J55" t="s">
        <v>1391</v>
      </c>
      <c r="K55" t="s">
        <v>1391</v>
      </c>
      <c r="L55" t="s">
        <v>1385</v>
      </c>
      <c r="M55" t="s">
        <v>1385</v>
      </c>
      <c r="N55" t="s">
        <v>1395</v>
      </c>
      <c r="O55" t="s">
        <v>1385</v>
      </c>
      <c r="P55" t="s">
        <v>1392</v>
      </c>
      <c r="Q55" t="s">
        <v>1385</v>
      </c>
      <c r="R55" t="s">
        <v>1393</v>
      </c>
      <c r="S55" t="s">
        <v>1394</v>
      </c>
      <c r="T55" t="s">
        <v>1385</v>
      </c>
      <c r="U55" t="s">
        <v>1395</v>
      </c>
      <c r="V55" t="s">
        <v>1385</v>
      </c>
      <c r="W55" t="s">
        <v>1396</v>
      </c>
      <c r="X55" t="s">
        <v>1397</v>
      </c>
      <c r="Y55" t="s">
        <v>1395</v>
      </c>
      <c r="Z55" t="s">
        <v>1398</v>
      </c>
      <c r="AA55" t="s">
        <v>1385</v>
      </c>
      <c r="AB55" t="s">
        <v>1385</v>
      </c>
      <c r="AC55" t="s">
        <v>1399</v>
      </c>
      <c r="AD55" t="s">
        <v>1400</v>
      </c>
      <c r="AE55" t="s">
        <v>1385</v>
      </c>
      <c r="AF55" t="s">
        <v>1385</v>
      </c>
      <c r="AG55" t="s">
        <v>1401</v>
      </c>
      <c r="AH55" t="s">
        <v>1402</v>
      </c>
      <c r="AI55" t="s">
        <v>1391</v>
      </c>
      <c r="AJ55" t="s">
        <v>1385</v>
      </c>
      <c r="AK55" t="s">
        <v>1385</v>
      </c>
      <c r="AL55" t="s">
        <v>1403</v>
      </c>
      <c r="AM55" t="s">
        <v>1404</v>
      </c>
      <c r="AN55" t="s">
        <v>1391</v>
      </c>
      <c r="AO55" t="s">
        <v>1385</v>
      </c>
      <c r="AP55" t="s">
        <v>1405</v>
      </c>
      <c r="AQ55" t="s">
        <v>1406</v>
      </c>
      <c r="AR55" t="s">
        <v>1398</v>
      </c>
    </row>
    <row r="56" spans="1:44" x14ac:dyDescent="0.3">
      <c r="A56" s="81" t="s">
        <v>1407</v>
      </c>
      <c r="B56" t="s">
        <v>1408</v>
      </c>
      <c r="C56" t="s">
        <v>1409</v>
      </c>
      <c r="D56" t="s">
        <v>1410</v>
      </c>
      <c r="E56" t="s">
        <v>1411</v>
      </c>
      <c r="F56" t="s">
        <v>1412</v>
      </c>
      <c r="G56" t="s">
        <v>1413</v>
      </c>
      <c r="H56" t="s">
        <v>1414</v>
      </c>
      <c r="I56" t="s">
        <v>1414</v>
      </c>
      <c r="J56" t="s">
        <v>1407</v>
      </c>
      <c r="K56" t="s">
        <v>1415</v>
      </c>
      <c r="L56" t="s">
        <v>1407</v>
      </c>
      <c r="M56" t="s">
        <v>1407</v>
      </c>
      <c r="N56" t="s">
        <v>1407</v>
      </c>
      <c r="O56" t="s">
        <v>1416</v>
      </c>
      <c r="P56" t="s">
        <v>1417</v>
      </c>
      <c r="Q56" t="s">
        <v>1407</v>
      </c>
      <c r="R56" t="s">
        <v>1418</v>
      </c>
      <c r="S56" t="s">
        <v>1419</v>
      </c>
      <c r="T56" t="s">
        <v>1420</v>
      </c>
      <c r="U56" t="s">
        <v>1421</v>
      </c>
      <c r="V56" t="s">
        <v>1407</v>
      </c>
      <c r="W56" t="s">
        <v>1422</v>
      </c>
      <c r="X56" t="s">
        <v>1423</v>
      </c>
      <c r="Y56" t="s">
        <v>1424</v>
      </c>
      <c r="Z56" t="s">
        <v>1425</v>
      </c>
      <c r="AA56" t="s">
        <v>1426</v>
      </c>
      <c r="AB56" t="s">
        <v>1407</v>
      </c>
      <c r="AC56" t="s">
        <v>1427</v>
      </c>
      <c r="AD56" t="s">
        <v>1408</v>
      </c>
      <c r="AE56" t="s">
        <v>1428</v>
      </c>
      <c r="AF56" t="s">
        <v>1408</v>
      </c>
      <c r="AG56" t="s">
        <v>1412</v>
      </c>
      <c r="AH56" t="s">
        <v>1407</v>
      </c>
      <c r="AI56" t="s">
        <v>1415</v>
      </c>
      <c r="AJ56" t="s">
        <v>1429</v>
      </c>
      <c r="AK56" t="s">
        <v>1430</v>
      </c>
      <c r="AL56" t="s">
        <v>1407</v>
      </c>
      <c r="AM56" t="s">
        <v>1431</v>
      </c>
      <c r="AN56" t="s">
        <v>1432</v>
      </c>
      <c r="AO56" t="s">
        <v>1433</v>
      </c>
      <c r="AP56" t="s">
        <v>1434</v>
      </c>
      <c r="AQ56" t="s">
        <v>1435</v>
      </c>
      <c r="AR56" t="s">
        <v>1412</v>
      </c>
    </row>
    <row r="57" spans="1:44" x14ac:dyDescent="0.3">
      <c r="A57" s="81" t="s">
        <v>2166</v>
      </c>
      <c r="B57" t="s">
        <v>2374</v>
      </c>
      <c r="C57" t="s">
        <v>2375</v>
      </c>
      <c r="D57" t="s">
        <v>2376</v>
      </c>
      <c r="E57" t="s">
        <v>2377</v>
      </c>
      <c r="F57" t="s">
        <v>2378</v>
      </c>
      <c r="G57" t="s">
        <v>2379</v>
      </c>
      <c r="H57" t="s">
        <v>2380</v>
      </c>
      <c r="I57" t="s">
        <v>2381</v>
      </c>
      <c r="J57" t="s">
        <v>2382</v>
      </c>
      <c r="K57" t="s">
        <v>2382</v>
      </c>
      <c r="L57" t="s">
        <v>2382</v>
      </c>
      <c r="M57" t="s">
        <v>2383</v>
      </c>
      <c r="N57" t="s">
        <v>2571</v>
      </c>
      <c r="O57" t="s">
        <v>2384</v>
      </c>
      <c r="P57" t="s">
        <v>2385</v>
      </c>
      <c r="Q57" t="s">
        <v>2382</v>
      </c>
      <c r="R57" t="s">
        <v>2386</v>
      </c>
      <c r="S57" t="s">
        <v>2387</v>
      </c>
      <c r="T57" t="s">
        <v>2388</v>
      </c>
      <c r="U57" t="s">
        <v>2389</v>
      </c>
      <c r="V57" t="s">
        <v>2390</v>
      </c>
      <c r="W57" t="s">
        <v>2391</v>
      </c>
      <c r="X57" t="s">
        <v>2392</v>
      </c>
      <c r="Y57" t="s">
        <v>2393</v>
      </c>
      <c r="Z57" t="s">
        <v>2394</v>
      </c>
      <c r="AA57" t="s">
        <v>2391</v>
      </c>
      <c r="AB57" t="s">
        <v>2382</v>
      </c>
      <c r="AC57" t="s">
        <v>2395</v>
      </c>
      <c r="AD57" t="s">
        <v>2389</v>
      </c>
      <c r="AE57" t="s">
        <v>2396</v>
      </c>
      <c r="AF57" t="s">
        <v>2391</v>
      </c>
      <c r="AG57" t="s">
        <v>2378</v>
      </c>
      <c r="AH57" t="s">
        <v>2394</v>
      </c>
      <c r="AI57" t="s">
        <v>2382</v>
      </c>
      <c r="AJ57" t="s">
        <v>2393</v>
      </c>
      <c r="AK57" t="s">
        <v>2389</v>
      </c>
      <c r="AL57" t="s">
        <v>2382</v>
      </c>
      <c r="AM57" t="s">
        <v>2397</v>
      </c>
      <c r="AN57" t="s">
        <v>2398</v>
      </c>
      <c r="AO57" t="s">
        <v>2166</v>
      </c>
      <c r="AP57" t="s">
        <v>2399</v>
      </c>
      <c r="AQ57" t="s">
        <v>2400</v>
      </c>
      <c r="AR57" t="s">
        <v>2378</v>
      </c>
    </row>
    <row r="58" spans="1:44" x14ac:dyDescent="0.3">
      <c r="A58" s="81" t="s">
        <v>2172</v>
      </c>
      <c r="B58" t="s">
        <v>2172</v>
      </c>
      <c r="C58" t="s">
        <v>2401</v>
      </c>
      <c r="D58" t="s">
        <v>2402</v>
      </c>
      <c r="E58" t="s">
        <v>2403</v>
      </c>
      <c r="F58" t="s">
        <v>2404</v>
      </c>
      <c r="G58" t="s">
        <v>2172</v>
      </c>
      <c r="H58" t="s">
        <v>2405</v>
      </c>
      <c r="I58" t="s">
        <v>2406</v>
      </c>
      <c r="J58" t="s">
        <v>2172</v>
      </c>
      <c r="K58" t="s">
        <v>2172</v>
      </c>
      <c r="L58" t="s">
        <v>2172</v>
      </c>
      <c r="M58" t="s">
        <v>2172</v>
      </c>
      <c r="N58" t="s">
        <v>2172</v>
      </c>
      <c r="O58" t="s">
        <v>2407</v>
      </c>
      <c r="P58" t="s">
        <v>2408</v>
      </c>
      <c r="Q58" t="s">
        <v>2172</v>
      </c>
      <c r="R58" t="s">
        <v>2409</v>
      </c>
      <c r="S58" t="s">
        <v>2410</v>
      </c>
      <c r="T58" t="s">
        <v>2411</v>
      </c>
      <c r="U58" t="s">
        <v>2412</v>
      </c>
      <c r="V58" t="s">
        <v>2172</v>
      </c>
      <c r="W58" t="s">
        <v>2172</v>
      </c>
      <c r="X58" t="s">
        <v>2413</v>
      </c>
      <c r="Y58" t="s">
        <v>2414</v>
      </c>
      <c r="Z58" t="s">
        <v>2404</v>
      </c>
      <c r="AA58" t="s">
        <v>2412</v>
      </c>
      <c r="AB58" t="s">
        <v>2172</v>
      </c>
      <c r="AC58" t="s">
        <v>2415</v>
      </c>
      <c r="AD58" t="s">
        <v>2172</v>
      </c>
      <c r="AE58" t="s">
        <v>2172</v>
      </c>
      <c r="AF58" t="s">
        <v>2172</v>
      </c>
      <c r="AG58" t="s">
        <v>2404</v>
      </c>
      <c r="AH58" t="s">
        <v>2416</v>
      </c>
      <c r="AI58" t="s">
        <v>2172</v>
      </c>
      <c r="AJ58" t="s">
        <v>2172</v>
      </c>
      <c r="AK58" t="s">
        <v>2172</v>
      </c>
      <c r="AL58" t="s">
        <v>2172</v>
      </c>
      <c r="AM58" t="s">
        <v>2417</v>
      </c>
      <c r="AN58" t="s">
        <v>2172</v>
      </c>
      <c r="AO58" t="s">
        <v>2172</v>
      </c>
      <c r="AP58" t="s">
        <v>2404</v>
      </c>
      <c r="AQ58" t="s">
        <v>2418</v>
      </c>
      <c r="AR58" t="s">
        <v>2404</v>
      </c>
    </row>
    <row r="59" spans="1:44" x14ac:dyDescent="0.3">
      <c r="A59" s="81" t="s">
        <v>2170</v>
      </c>
      <c r="B59" t="s">
        <v>2419</v>
      </c>
      <c r="C59" t="s">
        <v>2420</v>
      </c>
      <c r="D59" t="s">
        <v>2421</v>
      </c>
      <c r="E59" t="s">
        <v>2422</v>
      </c>
      <c r="F59" t="s">
        <v>2423</v>
      </c>
      <c r="G59" t="s">
        <v>2424</v>
      </c>
      <c r="H59" t="s">
        <v>2425</v>
      </c>
      <c r="I59" t="s">
        <v>2425</v>
      </c>
      <c r="J59" t="s">
        <v>2422</v>
      </c>
      <c r="K59" t="s">
        <v>2426</v>
      </c>
      <c r="L59" t="s">
        <v>2427</v>
      </c>
      <c r="M59" t="s">
        <v>2428</v>
      </c>
      <c r="N59" t="s">
        <v>2572</v>
      </c>
      <c r="O59" t="s">
        <v>2429</v>
      </c>
      <c r="P59" t="s">
        <v>2430</v>
      </c>
      <c r="Q59" t="s">
        <v>2427</v>
      </c>
      <c r="R59" t="s">
        <v>2431</v>
      </c>
      <c r="S59" t="s">
        <v>2432</v>
      </c>
      <c r="T59" t="s">
        <v>2433</v>
      </c>
      <c r="U59" t="s">
        <v>2170</v>
      </c>
      <c r="V59" t="s">
        <v>2434</v>
      </c>
      <c r="W59" t="s">
        <v>2170</v>
      </c>
      <c r="X59" t="s">
        <v>2435</v>
      </c>
      <c r="Y59" t="s">
        <v>2436</v>
      </c>
      <c r="Z59" t="s">
        <v>2423</v>
      </c>
      <c r="AA59" t="s">
        <v>2437</v>
      </c>
      <c r="AB59" t="s">
        <v>2170</v>
      </c>
      <c r="AC59" t="s">
        <v>2420</v>
      </c>
      <c r="AD59" t="s">
        <v>2438</v>
      </c>
      <c r="AE59" t="s">
        <v>2424</v>
      </c>
      <c r="AF59" t="s">
        <v>2170</v>
      </c>
      <c r="AG59" t="s">
        <v>2423</v>
      </c>
      <c r="AH59" t="s">
        <v>2423</v>
      </c>
      <c r="AI59" t="s">
        <v>2426</v>
      </c>
      <c r="AJ59" t="s">
        <v>2439</v>
      </c>
      <c r="AK59" t="s">
        <v>2440</v>
      </c>
      <c r="AL59" t="s">
        <v>2474</v>
      </c>
      <c r="AM59" t="s">
        <v>2441</v>
      </c>
      <c r="AN59" t="s">
        <v>2442</v>
      </c>
      <c r="AO59" t="s">
        <v>2170</v>
      </c>
      <c r="AP59" t="s">
        <v>2443</v>
      </c>
      <c r="AQ59" t="s">
        <v>2444</v>
      </c>
      <c r="AR59" t="s">
        <v>2423</v>
      </c>
    </row>
    <row r="60" spans="1:44" x14ac:dyDescent="0.3">
      <c r="A60" s="81" t="s">
        <v>2162</v>
      </c>
      <c r="B60" t="s">
        <v>2445</v>
      </c>
      <c r="C60" t="s">
        <v>2446</v>
      </c>
      <c r="D60" t="s">
        <v>2447</v>
      </c>
      <c r="E60" t="s">
        <v>2448</v>
      </c>
      <c r="F60" t="s">
        <v>2449</v>
      </c>
      <c r="G60" t="s">
        <v>2450</v>
      </c>
      <c r="H60" t="s">
        <v>2451</v>
      </c>
      <c r="I60" t="s">
        <v>2451</v>
      </c>
      <c r="J60" t="s">
        <v>2452</v>
      </c>
      <c r="K60" t="s">
        <v>2162</v>
      </c>
      <c r="L60" t="s">
        <v>2453</v>
      </c>
      <c r="M60" t="s">
        <v>2454</v>
      </c>
      <c r="N60" t="s">
        <v>2461</v>
      </c>
      <c r="O60" t="s">
        <v>2454</v>
      </c>
      <c r="P60" t="s">
        <v>2455</v>
      </c>
      <c r="Q60" t="s">
        <v>2456</v>
      </c>
      <c r="R60" t="s">
        <v>2457</v>
      </c>
      <c r="S60" t="s">
        <v>2458</v>
      </c>
      <c r="T60" t="s">
        <v>2459</v>
      </c>
      <c r="U60" t="s">
        <v>2460</v>
      </c>
      <c r="V60" t="s">
        <v>2461</v>
      </c>
      <c r="W60" t="s">
        <v>2462</v>
      </c>
      <c r="X60" t="s">
        <v>2463</v>
      </c>
      <c r="Y60" t="s">
        <v>2464</v>
      </c>
      <c r="Z60" t="s">
        <v>2449</v>
      </c>
      <c r="AA60" t="s">
        <v>2465</v>
      </c>
      <c r="AB60" t="s">
        <v>2162</v>
      </c>
      <c r="AC60" t="s">
        <v>2446</v>
      </c>
      <c r="AD60" t="s">
        <v>2466</v>
      </c>
      <c r="AE60" t="s">
        <v>2467</v>
      </c>
      <c r="AF60" t="s">
        <v>2466</v>
      </c>
      <c r="AG60" t="s">
        <v>2449</v>
      </c>
      <c r="AH60" t="s">
        <v>2468</v>
      </c>
      <c r="AI60" t="s">
        <v>2162</v>
      </c>
      <c r="AJ60" t="s">
        <v>2466</v>
      </c>
      <c r="AK60" t="s">
        <v>2469</v>
      </c>
      <c r="AL60" t="s">
        <v>2453</v>
      </c>
      <c r="AM60" t="s">
        <v>2470</v>
      </c>
      <c r="AN60" t="s">
        <v>2471</v>
      </c>
      <c r="AO60" t="s">
        <v>2472</v>
      </c>
      <c r="AP60" t="s">
        <v>2473</v>
      </c>
      <c r="AQ60" t="s">
        <v>2446</v>
      </c>
      <c r="AR60" t="s">
        <v>2449</v>
      </c>
    </row>
    <row r="61" spans="1:44" x14ac:dyDescent="0.3">
      <c r="A61" s="81" t="s">
        <v>1436</v>
      </c>
      <c r="B61" t="s">
        <v>1436</v>
      </c>
      <c r="C61" t="s">
        <v>1437</v>
      </c>
      <c r="D61" t="s">
        <v>1438</v>
      </c>
      <c r="E61" t="s">
        <v>1439</v>
      </c>
      <c r="F61" t="s">
        <v>1440</v>
      </c>
      <c r="G61" t="s">
        <v>1436</v>
      </c>
      <c r="H61" t="s">
        <v>1441</v>
      </c>
      <c r="I61" t="s">
        <v>1441</v>
      </c>
      <c r="J61" t="s">
        <v>1436</v>
      </c>
      <c r="K61" t="s">
        <v>1442</v>
      </c>
      <c r="L61" t="s">
        <v>1436</v>
      </c>
      <c r="M61" t="s">
        <v>1436</v>
      </c>
      <c r="N61" t="s">
        <v>1436</v>
      </c>
      <c r="O61" t="s">
        <v>1436</v>
      </c>
      <c r="P61" t="s">
        <v>1443</v>
      </c>
      <c r="Q61" t="s">
        <v>1436</v>
      </c>
      <c r="R61" t="s">
        <v>1444</v>
      </c>
      <c r="S61" t="s">
        <v>1445</v>
      </c>
      <c r="T61" t="s">
        <v>1446</v>
      </c>
      <c r="U61" t="s">
        <v>1436</v>
      </c>
      <c r="V61" t="s">
        <v>1447</v>
      </c>
      <c r="W61" t="s">
        <v>1436</v>
      </c>
      <c r="X61" t="s">
        <v>1448</v>
      </c>
      <c r="Y61" t="s">
        <v>1449</v>
      </c>
      <c r="Z61" t="s">
        <v>1440</v>
      </c>
      <c r="AA61" t="s">
        <v>1436</v>
      </c>
      <c r="AB61" t="s">
        <v>1436</v>
      </c>
      <c r="AC61" t="s">
        <v>1450</v>
      </c>
      <c r="AD61" t="s">
        <v>1436</v>
      </c>
      <c r="AE61" t="s">
        <v>1451</v>
      </c>
      <c r="AF61" t="s">
        <v>1436</v>
      </c>
      <c r="AG61" t="s">
        <v>1440</v>
      </c>
      <c r="AH61" t="s">
        <v>1440</v>
      </c>
      <c r="AI61" t="s">
        <v>1446</v>
      </c>
      <c r="AJ61" t="s">
        <v>1436</v>
      </c>
      <c r="AK61" t="s">
        <v>1446</v>
      </c>
      <c r="AL61" t="s">
        <v>1436</v>
      </c>
      <c r="AM61" t="s">
        <v>1452</v>
      </c>
      <c r="AN61" t="s">
        <v>1439</v>
      </c>
      <c r="AO61" t="s">
        <v>1436</v>
      </c>
      <c r="AP61" t="s">
        <v>1453</v>
      </c>
      <c r="AQ61" t="s">
        <v>1450</v>
      </c>
      <c r="AR61" t="s">
        <v>1454</v>
      </c>
    </row>
    <row r="62" spans="1:44" x14ac:dyDescent="0.3">
      <c r="A62" s="81" t="s">
        <v>1455</v>
      </c>
      <c r="B62" t="s">
        <v>1456</v>
      </c>
      <c r="C62" t="s">
        <v>1457</v>
      </c>
      <c r="D62" t="s">
        <v>1458</v>
      </c>
      <c r="E62" t="s">
        <v>1459</v>
      </c>
      <c r="F62" t="s">
        <v>1460</v>
      </c>
      <c r="G62" t="s">
        <v>1461</v>
      </c>
      <c r="H62" t="s">
        <v>1462</v>
      </c>
      <c r="I62" t="s">
        <v>1462</v>
      </c>
      <c r="J62" t="s">
        <v>1455</v>
      </c>
      <c r="K62" t="s">
        <v>1463</v>
      </c>
      <c r="L62" t="s">
        <v>1464</v>
      </c>
      <c r="M62" t="s">
        <v>1465</v>
      </c>
      <c r="N62" t="s">
        <v>2573</v>
      </c>
      <c r="O62" t="s">
        <v>1466</v>
      </c>
      <c r="P62" t="s">
        <v>1467</v>
      </c>
      <c r="Q62" t="s">
        <v>1464</v>
      </c>
      <c r="R62" t="s">
        <v>1468</v>
      </c>
      <c r="S62" t="s">
        <v>1469</v>
      </c>
      <c r="T62" t="s">
        <v>1470</v>
      </c>
      <c r="U62" t="s">
        <v>1455</v>
      </c>
      <c r="V62" t="s">
        <v>1471</v>
      </c>
      <c r="W62" t="s">
        <v>1472</v>
      </c>
      <c r="X62" t="s">
        <v>1473</v>
      </c>
      <c r="Y62" t="s">
        <v>1474</v>
      </c>
      <c r="Z62" t="s">
        <v>1475</v>
      </c>
      <c r="AA62" t="s">
        <v>1476</v>
      </c>
      <c r="AB62" t="s">
        <v>1461</v>
      </c>
      <c r="AC62" t="s">
        <v>1477</v>
      </c>
      <c r="AD62" t="s">
        <v>1478</v>
      </c>
      <c r="AE62" t="s">
        <v>1461</v>
      </c>
      <c r="AF62" t="s">
        <v>1479</v>
      </c>
      <c r="AG62" t="s">
        <v>1460</v>
      </c>
      <c r="AH62" t="s">
        <v>1455</v>
      </c>
      <c r="AI62" t="s">
        <v>1470</v>
      </c>
      <c r="AJ62" t="s">
        <v>1474</v>
      </c>
      <c r="AK62" t="s">
        <v>1461</v>
      </c>
      <c r="AL62" t="s">
        <v>1464</v>
      </c>
      <c r="AM62" t="s">
        <v>1480</v>
      </c>
      <c r="AN62" t="s">
        <v>1481</v>
      </c>
      <c r="AO62" t="s">
        <v>1482</v>
      </c>
      <c r="AP62" t="s">
        <v>1483</v>
      </c>
      <c r="AQ62" t="s">
        <v>1484</v>
      </c>
      <c r="AR62" t="s">
        <v>1460</v>
      </c>
    </row>
    <row r="63" spans="1:44" x14ac:dyDescent="0.3">
      <c r="A63" s="81" t="s">
        <v>1485</v>
      </c>
      <c r="B63" t="s">
        <v>1486</v>
      </c>
      <c r="C63" t="s">
        <v>1487</v>
      </c>
      <c r="D63" t="s">
        <v>1488</v>
      </c>
      <c r="E63" t="s">
        <v>1489</v>
      </c>
      <c r="F63" t="s">
        <v>1490</v>
      </c>
      <c r="G63" t="s">
        <v>1491</v>
      </c>
      <c r="H63" t="s">
        <v>1492</v>
      </c>
      <c r="I63" t="s">
        <v>1493</v>
      </c>
      <c r="J63" t="s">
        <v>1494</v>
      </c>
      <c r="K63" t="s">
        <v>1495</v>
      </c>
      <c r="L63" t="s">
        <v>1496</v>
      </c>
      <c r="M63" t="s">
        <v>1497</v>
      </c>
      <c r="N63" t="s">
        <v>1502</v>
      </c>
      <c r="O63" t="s">
        <v>1498</v>
      </c>
      <c r="P63" t="s">
        <v>1499</v>
      </c>
      <c r="Q63" t="s">
        <v>1496</v>
      </c>
      <c r="R63" t="s">
        <v>1500</v>
      </c>
      <c r="S63" t="s">
        <v>1501</v>
      </c>
      <c r="T63" t="s">
        <v>1485</v>
      </c>
      <c r="U63" t="s">
        <v>1502</v>
      </c>
      <c r="V63" t="s">
        <v>1485</v>
      </c>
      <c r="W63" t="s">
        <v>1503</v>
      </c>
      <c r="X63" t="s">
        <v>1504</v>
      </c>
      <c r="Y63" t="s">
        <v>1494</v>
      </c>
      <c r="Z63" t="s">
        <v>1508</v>
      </c>
      <c r="AA63" t="s">
        <v>2475</v>
      </c>
      <c r="AB63" t="s">
        <v>1502</v>
      </c>
      <c r="AC63" t="s">
        <v>1505</v>
      </c>
      <c r="AD63" t="s">
        <v>1502</v>
      </c>
      <c r="AE63" t="s">
        <v>1506</v>
      </c>
      <c r="AF63" t="s">
        <v>1502</v>
      </c>
      <c r="AG63" t="s">
        <v>1507</v>
      </c>
      <c r="AH63" t="s">
        <v>1508</v>
      </c>
      <c r="AI63" t="s">
        <v>1509</v>
      </c>
      <c r="AJ63" t="s">
        <v>1494</v>
      </c>
      <c r="AK63" t="s">
        <v>1506</v>
      </c>
      <c r="AL63" t="s">
        <v>1496</v>
      </c>
      <c r="AM63" t="s">
        <v>1510</v>
      </c>
      <c r="AN63" t="s">
        <v>1489</v>
      </c>
      <c r="AO63" t="s">
        <v>1511</v>
      </c>
      <c r="AP63" t="s">
        <v>1512</v>
      </c>
      <c r="AQ63" t="s">
        <v>1513</v>
      </c>
      <c r="AR63" t="s">
        <v>1507</v>
      </c>
    </row>
    <row r="64" spans="1:44" x14ac:dyDescent="0.3">
      <c r="A64" s="81" t="s">
        <v>2163</v>
      </c>
      <c r="B64" t="s">
        <v>2477</v>
      </c>
      <c r="C64" t="s">
        <v>2478</v>
      </c>
      <c r="D64" t="s">
        <v>2479</v>
      </c>
      <c r="E64" t="s">
        <v>2501</v>
      </c>
      <c r="F64" t="s">
        <v>2480</v>
      </c>
      <c r="G64" t="s">
        <v>2481</v>
      </c>
      <c r="H64" t="s">
        <v>2482</v>
      </c>
      <c r="I64" t="s">
        <v>2482</v>
      </c>
      <c r="J64" t="s">
        <v>2483</v>
      </c>
      <c r="K64" t="s">
        <v>2483</v>
      </c>
      <c r="L64" t="s">
        <v>2484</v>
      </c>
      <c r="M64" t="s">
        <v>2484</v>
      </c>
      <c r="N64" t="s">
        <v>2484</v>
      </c>
      <c r="O64" t="s">
        <v>2485</v>
      </c>
      <c r="P64" t="s">
        <v>2486</v>
      </c>
      <c r="Q64" t="s">
        <v>2484</v>
      </c>
      <c r="R64" t="s">
        <v>2487</v>
      </c>
      <c r="S64" t="s">
        <v>2488</v>
      </c>
      <c r="T64" t="s">
        <v>2489</v>
      </c>
      <c r="U64" t="s">
        <v>2483</v>
      </c>
      <c r="V64" t="s">
        <v>2489</v>
      </c>
      <c r="W64" t="s">
        <v>2490</v>
      </c>
      <c r="X64" t="s">
        <v>2491</v>
      </c>
      <c r="Y64" t="s">
        <v>2492</v>
      </c>
      <c r="Z64" t="s">
        <v>2480</v>
      </c>
      <c r="AA64" t="s">
        <v>2493</v>
      </c>
      <c r="AB64" t="s">
        <v>2484</v>
      </c>
      <c r="AC64" t="s">
        <v>2494</v>
      </c>
      <c r="AD64" t="s">
        <v>2483</v>
      </c>
      <c r="AE64" t="s">
        <v>2495</v>
      </c>
      <c r="AF64" t="s">
        <v>2485</v>
      </c>
      <c r="AG64" t="s">
        <v>2496</v>
      </c>
      <c r="AH64" t="s">
        <v>2480</v>
      </c>
      <c r="AI64" t="s">
        <v>2483</v>
      </c>
      <c r="AJ64" t="s">
        <v>2483</v>
      </c>
      <c r="AK64" t="s">
        <v>2497</v>
      </c>
      <c r="AL64" t="s">
        <v>2498</v>
      </c>
      <c r="AM64" t="s">
        <v>2499</v>
      </c>
      <c r="AN64" t="s">
        <v>2500</v>
      </c>
      <c r="AO64" t="s">
        <v>2163</v>
      </c>
      <c r="AP64" t="s">
        <v>2496</v>
      </c>
      <c r="AQ64" t="s">
        <v>2494</v>
      </c>
      <c r="AR64" t="s">
        <v>2496</v>
      </c>
    </row>
    <row r="65" spans="1:44" x14ac:dyDescent="0.3">
      <c r="A65" s="81" t="s">
        <v>1514</v>
      </c>
      <c r="B65" t="s">
        <v>1515</v>
      </c>
      <c r="C65" t="s">
        <v>1516</v>
      </c>
      <c r="D65" t="s">
        <v>1517</v>
      </c>
      <c r="E65" t="s">
        <v>1518</v>
      </c>
      <c r="F65" t="s">
        <v>1519</v>
      </c>
      <c r="G65" t="s">
        <v>1514</v>
      </c>
      <c r="H65" t="s">
        <v>1520</v>
      </c>
      <c r="I65" t="s">
        <v>1520</v>
      </c>
      <c r="J65" t="s">
        <v>1521</v>
      </c>
      <c r="K65" t="s">
        <v>1522</v>
      </c>
      <c r="L65" t="s">
        <v>1514</v>
      </c>
      <c r="M65" t="s">
        <v>1514</v>
      </c>
      <c r="N65" t="s">
        <v>1514</v>
      </c>
      <c r="O65" t="s">
        <v>1514</v>
      </c>
      <c r="P65" t="s">
        <v>1523</v>
      </c>
      <c r="Q65" t="s">
        <v>1514</v>
      </c>
      <c r="R65" t="s">
        <v>1524</v>
      </c>
      <c r="S65" t="s">
        <v>1525</v>
      </c>
      <c r="T65" t="s">
        <v>1526</v>
      </c>
      <c r="U65" t="s">
        <v>1514</v>
      </c>
      <c r="V65" t="s">
        <v>1514</v>
      </c>
      <c r="W65" t="s">
        <v>1527</v>
      </c>
      <c r="X65" t="s">
        <v>1528</v>
      </c>
      <c r="Y65" t="s">
        <v>1521</v>
      </c>
      <c r="Z65" t="s">
        <v>1529</v>
      </c>
      <c r="AA65" t="s">
        <v>1530</v>
      </c>
      <c r="AB65" t="s">
        <v>1514</v>
      </c>
      <c r="AC65" t="s">
        <v>1531</v>
      </c>
      <c r="AD65" t="s">
        <v>1532</v>
      </c>
      <c r="AE65" t="s">
        <v>1514</v>
      </c>
      <c r="AF65" t="s">
        <v>1532</v>
      </c>
      <c r="AG65" t="s">
        <v>1519</v>
      </c>
      <c r="AH65" t="s">
        <v>1529</v>
      </c>
      <c r="AI65" t="s">
        <v>1522</v>
      </c>
      <c r="AJ65" t="s">
        <v>1533</v>
      </c>
      <c r="AK65" t="s">
        <v>1514</v>
      </c>
      <c r="AL65" t="s">
        <v>1514</v>
      </c>
      <c r="AM65" t="s">
        <v>1534</v>
      </c>
      <c r="AN65" t="s">
        <v>1535</v>
      </c>
      <c r="AO65" t="s">
        <v>1536</v>
      </c>
      <c r="AP65" t="s">
        <v>1537</v>
      </c>
      <c r="AQ65" t="s">
        <v>1538</v>
      </c>
      <c r="AR65" t="s">
        <v>1519</v>
      </c>
    </row>
    <row r="66" spans="1:44" x14ac:dyDescent="0.3">
      <c r="A66" s="81" t="s">
        <v>1539</v>
      </c>
      <c r="B66" t="s">
        <v>1540</v>
      </c>
      <c r="C66" t="s">
        <v>1541</v>
      </c>
      <c r="D66" t="s">
        <v>1542</v>
      </c>
      <c r="E66" t="s">
        <v>1543</v>
      </c>
      <c r="F66" t="s">
        <v>1544</v>
      </c>
      <c r="G66" t="s">
        <v>1545</v>
      </c>
      <c r="H66" t="s">
        <v>1546</v>
      </c>
      <c r="I66" t="s">
        <v>1546</v>
      </c>
      <c r="J66" t="s">
        <v>1547</v>
      </c>
      <c r="K66" t="s">
        <v>1548</v>
      </c>
      <c r="L66" t="s">
        <v>1549</v>
      </c>
      <c r="M66" t="s">
        <v>1550</v>
      </c>
      <c r="N66" t="s">
        <v>1549</v>
      </c>
      <c r="O66" t="s">
        <v>1551</v>
      </c>
      <c r="P66" t="s">
        <v>1552</v>
      </c>
      <c r="Q66" t="s">
        <v>1549</v>
      </c>
      <c r="R66" t="s">
        <v>1553</v>
      </c>
      <c r="S66" t="s">
        <v>1554</v>
      </c>
      <c r="T66" t="s">
        <v>1555</v>
      </c>
      <c r="U66" t="s">
        <v>1556</v>
      </c>
      <c r="V66" t="s">
        <v>1557</v>
      </c>
      <c r="W66" t="s">
        <v>1558</v>
      </c>
      <c r="X66" t="s">
        <v>1559</v>
      </c>
      <c r="Y66" t="s">
        <v>1560</v>
      </c>
      <c r="Z66" t="s">
        <v>1561</v>
      </c>
      <c r="AA66" t="s">
        <v>1562</v>
      </c>
      <c r="AB66" t="s">
        <v>1563</v>
      </c>
      <c r="AC66" t="s">
        <v>1564</v>
      </c>
      <c r="AD66" t="s">
        <v>1565</v>
      </c>
      <c r="AE66" t="s">
        <v>1566</v>
      </c>
      <c r="AF66" t="s">
        <v>1563</v>
      </c>
      <c r="AG66" t="s">
        <v>1544</v>
      </c>
      <c r="AH66" t="s">
        <v>1561</v>
      </c>
      <c r="AI66" t="s">
        <v>1567</v>
      </c>
      <c r="AJ66" t="s">
        <v>1568</v>
      </c>
      <c r="AK66" t="s">
        <v>1569</v>
      </c>
      <c r="AL66" t="s">
        <v>1549</v>
      </c>
      <c r="AM66" t="s">
        <v>1570</v>
      </c>
      <c r="AN66" t="s">
        <v>1571</v>
      </c>
      <c r="AO66" t="s">
        <v>1572</v>
      </c>
      <c r="AP66" t="s">
        <v>1573</v>
      </c>
      <c r="AQ66" t="s">
        <v>1574</v>
      </c>
      <c r="AR66" t="s">
        <v>1544</v>
      </c>
    </row>
    <row r="67" spans="1:44" x14ac:dyDescent="0.3">
      <c r="A67" s="81" t="s">
        <v>1575</v>
      </c>
      <c r="B67" t="s">
        <v>1576</v>
      </c>
      <c r="C67" t="s">
        <v>1577</v>
      </c>
      <c r="D67" t="s">
        <v>1578</v>
      </c>
      <c r="E67" t="s">
        <v>1579</v>
      </c>
      <c r="F67" t="s">
        <v>1580</v>
      </c>
      <c r="G67" t="s">
        <v>1581</v>
      </c>
      <c r="H67" t="s">
        <v>1582</v>
      </c>
      <c r="I67" t="s">
        <v>1582</v>
      </c>
      <c r="J67" t="s">
        <v>1583</v>
      </c>
      <c r="K67" t="s">
        <v>1584</v>
      </c>
      <c r="L67" t="s">
        <v>1585</v>
      </c>
      <c r="M67" t="s">
        <v>1586</v>
      </c>
      <c r="N67" t="s">
        <v>2574</v>
      </c>
      <c r="O67" t="s">
        <v>1587</v>
      </c>
      <c r="P67" t="s">
        <v>1575</v>
      </c>
      <c r="Q67" t="s">
        <v>1585</v>
      </c>
      <c r="R67" t="s">
        <v>1588</v>
      </c>
      <c r="S67" t="s">
        <v>1589</v>
      </c>
      <c r="T67" t="s">
        <v>1590</v>
      </c>
      <c r="U67" t="s">
        <v>1591</v>
      </c>
      <c r="V67" t="s">
        <v>1592</v>
      </c>
      <c r="W67" t="s">
        <v>1593</v>
      </c>
      <c r="X67" t="s">
        <v>1594</v>
      </c>
      <c r="Y67" t="s">
        <v>1595</v>
      </c>
      <c r="Z67" t="s">
        <v>1596</v>
      </c>
      <c r="AA67" t="s">
        <v>1597</v>
      </c>
      <c r="AB67" t="s">
        <v>1598</v>
      </c>
      <c r="AC67" t="s">
        <v>1599</v>
      </c>
      <c r="AD67" t="s">
        <v>1600</v>
      </c>
      <c r="AE67" t="s">
        <v>1601</v>
      </c>
      <c r="AF67" t="s">
        <v>1602</v>
      </c>
      <c r="AG67" t="s">
        <v>1580</v>
      </c>
      <c r="AH67" t="s">
        <v>1603</v>
      </c>
      <c r="AI67" t="s">
        <v>1604</v>
      </c>
      <c r="AJ67" t="s">
        <v>1605</v>
      </c>
      <c r="AK67" t="s">
        <v>1606</v>
      </c>
      <c r="AL67" t="s">
        <v>1585</v>
      </c>
      <c r="AM67" t="s">
        <v>1607</v>
      </c>
      <c r="AN67" t="s">
        <v>1608</v>
      </c>
      <c r="AO67" t="s">
        <v>1609</v>
      </c>
      <c r="AP67" t="s">
        <v>1610</v>
      </c>
      <c r="AQ67" t="s">
        <v>1611</v>
      </c>
      <c r="AR67" t="s">
        <v>1580</v>
      </c>
    </row>
    <row r="68" spans="1:44" x14ac:dyDescent="0.3">
      <c r="A68" s="81" t="s">
        <v>2169</v>
      </c>
      <c r="B68" t="s">
        <v>2169</v>
      </c>
      <c r="C68" t="s">
        <v>2502</v>
      </c>
      <c r="D68" t="s">
        <v>2503</v>
      </c>
      <c r="E68" t="s">
        <v>2169</v>
      </c>
      <c r="F68" t="s">
        <v>2504</v>
      </c>
      <c r="G68" t="s">
        <v>2505</v>
      </c>
      <c r="H68" t="s">
        <v>2506</v>
      </c>
      <c r="I68" t="s">
        <v>2507</v>
      </c>
      <c r="J68" t="s">
        <v>2169</v>
      </c>
      <c r="K68" t="s">
        <v>2169</v>
      </c>
      <c r="L68" t="s">
        <v>2169</v>
      </c>
      <c r="M68" t="s">
        <v>2169</v>
      </c>
      <c r="N68" t="s">
        <v>2169</v>
      </c>
      <c r="O68" t="s">
        <v>2169</v>
      </c>
      <c r="P68" t="s">
        <v>2508</v>
      </c>
      <c r="Q68" t="s">
        <v>2169</v>
      </c>
      <c r="R68" t="s">
        <v>2509</v>
      </c>
      <c r="S68" t="s">
        <v>2510</v>
      </c>
      <c r="T68" t="s">
        <v>2169</v>
      </c>
      <c r="U68" t="s">
        <v>2169</v>
      </c>
      <c r="V68" t="s">
        <v>2169</v>
      </c>
      <c r="W68" t="s">
        <v>2169</v>
      </c>
      <c r="X68" t="s">
        <v>2511</v>
      </c>
      <c r="Y68" t="s">
        <v>2169</v>
      </c>
      <c r="Z68" t="s">
        <v>2504</v>
      </c>
      <c r="AA68" t="s">
        <v>2169</v>
      </c>
      <c r="AB68" t="s">
        <v>2169</v>
      </c>
      <c r="AC68" t="s">
        <v>2512</v>
      </c>
      <c r="AD68" t="s">
        <v>2169</v>
      </c>
      <c r="AE68" t="s">
        <v>2513</v>
      </c>
      <c r="AF68" t="s">
        <v>2169</v>
      </c>
      <c r="AG68" t="s">
        <v>2504</v>
      </c>
      <c r="AH68" t="s">
        <v>2504</v>
      </c>
      <c r="AI68" t="s">
        <v>2169</v>
      </c>
      <c r="AJ68" t="s">
        <v>2169</v>
      </c>
      <c r="AK68" t="s">
        <v>2513</v>
      </c>
      <c r="AL68" t="s">
        <v>2169</v>
      </c>
      <c r="AM68" t="s">
        <v>2514</v>
      </c>
      <c r="AN68" t="s">
        <v>2169</v>
      </c>
      <c r="AO68" t="s">
        <v>2169</v>
      </c>
      <c r="AP68" t="s">
        <v>2504</v>
      </c>
      <c r="AQ68" t="s">
        <v>2512</v>
      </c>
      <c r="AR68" t="s">
        <v>2504</v>
      </c>
    </row>
    <row r="69" spans="1:44" x14ac:dyDescent="0.3">
      <c r="A69" s="81" t="s">
        <v>2161</v>
      </c>
      <c r="B69" t="s">
        <v>2515</v>
      </c>
      <c r="C69" t="s">
        <v>2516</v>
      </c>
      <c r="D69" t="s">
        <v>2517</v>
      </c>
      <c r="E69" t="s">
        <v>2518</v>
      </c>
      <c r="F69" t="s">
        <v>2519</v>
      </c>
      <c r="G69" t="s">
        <v>2520</v>
      </c>
      <c r="H69" t="s">
        <v>2521</v>
      </c>
      <c r="I69" t="s">
        <v>2521</v>
      </c>
      <c r="J69" t="s">
        <v>2522</v>
      </c>
      <c r="K69" t="s">
        <v>2523</v>
      </c>
      <c r="L69" t="s">
        <v>2524</v>
      </c>
      <c r="M69" t="s">
        <v>2525</v>
      </c>
      <c r="N69" t="s">
        <v>2161</v>
      </c>
      <c r="O69" t="s">
        <v>2526</v>
      </c>
      <c r="P69" t="s">
        <v>2527</v>
      </c>
      <c r="Q69" t="s">
        <v>2524</v>
      </c>
      <c r="R69" t="s">
        <v>2528</v>
      </c>
      <c r="S69" t="s">
        <v>2529</v>
      </c>
      <c r="T69" t="s">
        <v>2530</v>
      </c>
      <c r="U69" t="s">
        <v>2531</v>
      </c>
      <c r="V69" t="s">
        <v>2532</v>
      </c>
      <c r="W69" t="s">
        <v>2533</v>
      </c>
      <c r="X69" t="s">
        <v>2534</v>
      </c>
      <c r="Y69" t="s">
        <v>2535</v>
      </c>
      <c r="Z69" t="s">
        <v>2536</v>
      </c>
      <c r="AA69" t="s">
        <v>2537</v>
      </c>
      <c r="AB69" t="s">
        <v>2538</v>
      </c>
      <c r="AC69" t="s">
        <v>2539</v>
      </c>
      <c r="AD69" t="s">
        <v>2540</v>
      </c>
      <c r="AE69" t="s">
        <v>2541</v>
      </c>
      <c r="AF69" t="s">
        <v>2542</v>
      </c>
      <c r="AG69" t="s">
        <v>2543</v>
      </c>
      <c r="AH69" t="s">
        <v>2544</v>
      </c>
      <c r="AI69" t="s">
        <v>2545</v>
      </c>
      <c r="AJ69" t="s">
        <v>2546</v>
      </c>
      <c r="AK69" t="s">
        <v>2533</v>
      </c>
      <c r="AL69" t="s">
        <v>2547</v>
      </c>
      <c r="AM69" t="s">
        <v>2548</v>
      </c>
      <c r="AN69" t="s">
        <v>2549</v>
      </c>
      <c r="AO69" t="s">
        <v>2550</v>
      </c>
      <c r="AP69" t="s">
        <v>2551</v>
      </c>
      <c r="AQ69" t="s">
        <v>2552</v>
      </c>
      <c r="AR69" t="s">
        <v>2543</v>
      </c>
    </row>
    <row r="70" spans="1:44" x14ac:dyDescent="0.3">
      <c r="A70" s="81" t="s">
        <v>1612</v>
      </c>
      <c r="B70" t="s">
        <v>1612</v>
      </c>
      <c r="C70" t="s">
        <v>1612</v>
      </c>
      <c r="D70" t="s">
        <v>1612</v>
      </c>
      <c r="E70" t="s">
        <v>1612</v>
      </c>
      <c r="F70" t="s">
        <v>1612</v>
      </c>
      <c r="G70" t="s">
        <v>1612</v>
      </c>
      <c r="H70" t="s">
        <v>1612</v>
      </c>
      <c r="I70" t="s">
        <v>1612</v>
      </c>
      <c r="J70" t="s">
        <v>1612</v>
      </c>
      <c r="K70" t="s">
        <v>1612</v>
      </c>
      <c r="L70" t="s">
        <v>1612</v>
      </c>
      <c r="M70" t="s">
        <v>1613</v>
      </c>
      <c r="N70" t="s">
        <v>1612</v>
      </c>
      <c r="O70" t="s">
        <v>1612</v>
      </c>
      <c r="P70" t="s">
        <v>1612</v>
      </c>
      <c r="Q70" t="s">
        <v>1612</v>
      </c>
      <c r="R70" t="s">
        <v>1612</v>
      </c>
      <c r="S70" t="s">
        <v>1612</v>
      </c>
      <c r="T70" t="s">
        <v>1612</v>
      </c>
      <c r="U70" t="s">
        <v>1612</v>
      </c>
      <c r="V70" t="s">
        <v>1612</v>
      </c>
      <c r="W70" t="s">
        <v>1612</v>
      </c>
      <c r="X70" t="s">
        <v>1614</v>
      </c>
      <c r="Y70" t="s">
        <v>1612</v>
      </c>
      <c r="Z70" t="s">
        <v>1612</v>
      </c>
      <c r="AA70" t="s">
        <v>1612</v>
      </c>
      <c r="AB70" t="s">
        <v>1612</v>
      </c>
      <c r="AC70" t="s">
        <v>1615</v>
      </c>
      <c r="AD70" t="s">
        <v>1612</v>
      </c>
      <c r="AE70" t="s">
        <v>1612</v>
      </c>
      <c r="AF70" t="s">
        <v>1612</v>
      </c>
      <c r="AG70" t="s">
        <v>1612</v>
      </c>
      <c r="AH70" t="s">
        <v>1612</v>
      </c>
      <c r="AI70" t="s">
        <v>1612</v>
      </c>
      <c r="AJ70" t="s">
        <v>1612</v>
      </c>
      <c r="AK70" t="s">
        <v>1612</v>
      </c>
      <c r="AL70" t="s">
        <v>1612</v>
      </c>
      <c r="AM70" t="s">
        <v>1616</v>
      </c>
      <c r="AN70" t="s">
        <v>1613</v>
      </c>
      <c r="AO70" t="s">
        <v>1612</v>
      </c>
      <c r="AP70" t="s">
        <v>1612</v>
      </c>
      <c r="AQ70" t="s">
        <v>1617</v>
      </c>
      <c r="AR70" t="s">
        <v>1612</v>
      </c>
    </row>
    <row r="71" spans="1:44" x14ac:dyDescent="0.3">
      <c r="A71" s="81" t="s">
        <v>1618</v>
      </c>
      <c r="B71" t="s">
        <v>1618</v>
      </c>
      <c r="C71" t="s">
        <v>1618</v>
      </c>
      <c r="D71" t="s">
        <v>1618</v>
      </c>
      <c r="E71" t="s">
        <v>1618</v>
      </c>
      <c r="F71" t="s">
        <v>1618</v>
      </c>
      <c r="G71" t="s">
        <v>1618</v>
      </c>
      <c r="H71" t="s">
        <v>1618</v>
      </c>
      <c r="I71" t="s">
        <v>1618</v>
      </c>
      <c r="J71" t="s">
        <v>1618</v>
      </c>
      <c r="K71" t="s">
        <v>1618</v>
      </c>
      <c r="L71" t="s">
        <v>1618</v>
      </c>
      <c r="M71" t="s">
        <v>1619</v>
      </c>
      <c r="N71" t="s">
        <v>1618</v>
      </c>
      <c r="O71" t="s">
        <v>1618</v>
      </c>
      <c r="P71" t="s">
        <v>1618</v>
      </c>
      <c r="Q71" t="s">
        <v>1618</v>
      </c>
      <c r="R71" t="s">
        <v>1618</v>
      </c>
      <c r="S71" t="s">
        <v>1618</v>
      </c>
      <c r="T71" t="s">
        <v>1618</v>
      </c>
      <c r="U71" t="s">
        <v>1618</v>
      </c>
      <c r="V71" t="s">
        <v>1618</v>
      </c>
      <c r="W71" t="s">
        <v>1618</v>
      </c>
      <c r="X71" t="s">
        <v>1620</v>
      </c>
      <c r="Y71" t="s">
        <v>1618</v>
      </c>
      <c r="Z71" t="s">
        <v>1618</v>
      </c>
      <c r="AA71" t="s">
        <v>1618</v>
      </c>
      <c r="AB71" t="s">
        <v>1618</v>
      </c>
      <c r="AC71" t="s">
        <v>1621</v>
      </c>
      <c r="AD71" t="s">
        <v>1618</v>
      </c>
      <c r="AE71" t="s">
        <v>1618</v>
      </c>
      <c r="AF71" t="s">
        <v>1618</v>
      </c>
      <c r="AG71" t="s">
        <v>1618</v>
      </c>
      <c r="AH71" t="s">
        <v>1618</v>
      </c>
      <c r="AI71" t="s">
        <v>1618</v>
      </c>
      <c r="AJ71" t="s">
        <v>1618</v>
      </c>
      <c r="AK71" t="s">
        <v>1618</v>
      </c>
      <c r="AL71" t="s">
        <v>1618</v>
      </c>
      <c r="AM71" t="s">
        <v>1622</v>
      </c>
      <c r="AN71" t="s">
        <v>1619</v>
      </c>
      <c r="AO71" t="s">
        <v>1618</v>
      </c>
      <c r="AP71" t="s">
        <v>1618</v>
      </c>
      <c r="AQ71" t="s">
        <v>1623</v>
      </c>
      <c r="AR71" t="s">
        <v>1618</v>
      </c>
    </row>
    <row r="72" spans="1:44" x14ac:dyDescent="0.3">
      <c r="A72" s="81" t="s">
        <v>1624</v>
      </c>
      <c r="B72" t="s">
        <v>1624</v>
      </c>
      <c r="C72" t="s">
        <v>1624</v>
      </c>
      <c r="D72" t="s">
        <v>1624</v>
      </c>
      <c r="E72" t="s">
        <v>1624</v>
      </c>
      <c r="F72" t="s">
        <v>1624</v>
      </c>
      <c r="G72" t="s">
        <v>1624</v>
      </c>
      <c r="H72" t="s">
        <v>1624</v>
      </c>
      <c r="I72" t="s">
        <v>1624</v>
      </c>
      <c r="J72" t="s">
        <v>1624</v>
      </c>
      <c r="K72" t="s">
        <v>1624</v>
      </c>
      <c r="L72" t="s">
        <v>1624</v>
      </c>
      <c r="M72" t="s">
        <v>1625</v>
      </c>
      <c r="N72" t="s">
        <v>1624</v>
      </c>
      <c r="O72" t="s">
        <v>1624</v>
      </c>
      <c r="P72" t="s">
        <v>1624</v>
      </c>
      <c r="Q72" t="s">
        <v>1624</v>
      </c>
      <c r="R72" t="s">
        <v>1624</v>
      </c>
      <c r="S72" t="s">
        <v>1624</v>
      </c>
      <c r="T72" t="s">
        <v>1624</v>
      </c>
      <c r="U72" t="s">
        <v>1624</v>
      </c>
      <c r="V72" t="s">
        <v>1624</v>
      </c>
      <c r="W72" t="s">
        <v>1624</v>
      </c>
      <c r="X72" t="s">
        <v>1626</v>
      </c>
      <c r="Y72" t="s">
        <v>1624</v>
      </c>
      <c r="Z72" t="s">
        <v>1624</v>
      </c>
      <c r="AA72" t="s">
        <v>1624</v>
      </c>
      <c r="AB72" t="s">
        <v>1624</v>
      </c>
      <c r="AC72" t="s">
        <v>1627</v>
      </c>
      <c r="AD72" t="s">
        <v>1624</v>
      </c>
      <c r="AE72" t="s">
        <v>1624</v>
      </c>
      <c r="AF72" t="s">
        <v>1624</v>
      </c>
      <c r="AG72" t="s">
        <v>1624</v>
      </c>
      <c r="AH72" t="s">
        <v>1624</v>
      </c>
      <c r="AI72" t="s">
        <v>1624</v>
      </c>
      <c r="AJ72" t="s">
        <v>1624</v>
      </c>
      <c r="AK72" t="s">
        <v>1624</v>
      </c>
      <c r="AL72" t="s">
        <v>1624</v>
      </c>
      <c r="AM72" t="s">
        <v>1628</v>
      </c>
      <c r="AN72" t="s">
        <v>1625</v>
      </c>
      <c r="AO72" t="s">
        <v>1624</v>
      </c>
      <c r="AP72" t="s">
        <v>1624</v>
      </c>
      <c r="AQ72" t="s">
        <v>1629</v>
      </c>
      <c r="AR72" t="s">
        <v>1624</v>
      </c>
    </row>
    <row r="73" spans="1:44" x14ac:dyDescent="0.3">
      <c r="A73" s="81" t="s">
        <v>1630</v>
      </c>
      <c r="B73" t="s">
        <v>1630</v>
      </c>
      <c r="C73" t="s">
        <v>1630</v>
      </c>
      <c r="D73" t="s">
        <v>1630</v>
      </c>
      <c r="E73" t="s">
        <v>1630</v>
      </c>
      <c r="F73" t="s">
        <v>1630</v>
      </c>
      <c r="G73" t="s">
        <v>1630</v>
      </c>
      <c r="H73" t="s">
        <v>1630</v>
      </c>
      <c r="I73" t="s">
        <v>1630</v>
      </c>
      <c r="J73" t="s">
        <v>1630</v>
      </c>
      <c r="K73" t="s">
        <v>1630</v>
      </c>
      <c r="L73" t="s">
        <v>1630</v>
      </c>
      <c r="M73" t="s">
        <v>1631</v>
      </c>
      <c r="N73" t="s">
        <v>1630</v>
      </c>
      <c r="O73" t="s">
        <v>1630</v>
      </c>
      <c r="P73" t="s">
        <v>1630</v>
      </c>
      <c r="Q73" t="s">
        <v>1630</v>
      </c>
      <c r="R73" t="s">
        <v>1630</v>
      </c>
      <c r="S73" t="s">
        <v>1630</v>
      </c>
      <c r="T73" t="s">
        <v>1630</v>
      </c>
      <c r="U73" t="s">
        <v>1630</v>
      </c>
      <c r="V73" t="s">
        <v>1630</v>
      </c>
      <c r="W73" t="s">
        <v>1630</v>
      </c>
      <c r="X73" t="s">
        <v>1632</v>
      </c>
      <c r="Y73" t="s">
        <v>1630</v>
      </c>
      <c r="Z73" t="s">
        <v>1630</v>
      </c>
      <c r="AA73" t="s">
        <v>1630</v>
      </c>
      <c r="AB73" t="s">
        <v>1630</v>
      </c>
      <c r="AC73" t="s">
        <v>1633</v>
      </c>
      <c r="AD73" t="s">
        <v>1630</v>
      </c>
      <c r="AE73" t="s">
        <v>1630</v>
      </c>
      <c r="AF73" t="s">
        <v>1630</v>
      </c>
      <c r="AG73" t="s">
        <v>1630</v>
      </c>
      <c r="AH73" t="s">
        <v>1630</v>
      </c>
      <c r="AI73" t="s">
        <v>1630</v>
      </c>
      <c r="AJ73" t="s">
        <v>1630</v>
      </c>
      <c r="AK73" t="s">
        <v>1630</v>
      </c>
      <c r="AL73" t="s">
        <v>1630</v>
      </c>
      <c r="AM73" t="s">
        <v>1634</v>
      </c>
      <c r="AN73" t="s">
        <v>1631</v>
      </c>
      <c r="AO73" t="s">
        <v>1630</v>
      </c>
      <c r="AP73" t="s">
        <v>1630</v>
      </c>
      <c r="AQ73" t="s">
        <v>1635</v>
      </c>
      <c r="AR73" t="s">
        <v>1630</v>
      </c>
    </row>
    <row r="74" spans="1:44" x14ac:dyDescent="0.3">
      <c r="A74" s="81" t="s">
        <v>1636</v>
      </c>
      <c r="B74" t="s">
        <v>1636</v>
      </c>
      <c r="C74" t="s">
        <v>1636</v>
      </c>
      <c r="D74" t="s">
        <v>1636</v>
      </c>
      <c r="E74" t="s">
        <v>1636</v>
      </c>
      <c r="F74" t="s">
        <v>1636</v>
      </c>
      <c r="G74" t="s">
        <v>1636</v>
      </c>
      <c r="H74" t="s">
        <v>1636</v>
      </c>
      <c r="I74" t="s">
        <v>1636</v>
      </c>
      <c r="J74" t="s">
        <v>1636</v>
      </c>
      <c r="K74" t="s">
        <v>1636</v>
      </c>
      <c r="L74" t="s">
        <v>1636</v>
      </c>
      <c r="M74" t="s">
        <v>1637</v>
      </c>
      <c r="N74" t="s">
        <v>1636</v>
      </c>
      <c r="O74" t="s">
        <v>1636</v>
      </c>
      <c r="P74" t="s">
        <v>1636</v>
      </c>
      <c r="Q74" t="s">
        <v>1636</v>
      </c>
      <c r="R74" t="s">
        <v>1638</v>
      </c>
      <c r="S74" t="s">
        <v>1636</v>
      </c>
      <c r="T74" t="s">
        <v>1636</v>
      </c>
      <c r="U74" t="s">
        <v>1636</v>
      </c>
      <c r="V74" t="s">
        <v>1636</v>
      </c>
      <c r="W74" t="s">
        <v>1636</v>
      </c>
      <c r="X74" t="s">
        <v>1639</v>
      </c>
      <c r="Y74" t="s">
        <v>1636</v>
      </c>
      <c r="Z74" t="s">
        <v>1636</v>
      </c>
      <c r="AA74" t="s">
        <v>1640</v>
      </c>
      <c r="AB74" t="s">
        <v>1636</v>
      </c>
      <c r="AC74" t="s">
        <v>1641</v>
      </c>
      <c r="AD74" t="s">
        <v>1636</v>
      </c>
      <c r="AE74" t="s">
        <v>1636</v>
      </c>
      <c r="AF74" t="s">
        <v>1636</v>
      </c>
      <c r="AG74" t="s">
        <v>1636</v>
      </c>
      <c r="AH74" t="s">
        <v>1636</v>
      </c>
      <c r="AI74" t="s">
        <v>1636</v>
      </c>
      <c r="AJ74" t="s">
        <v>1636</v>
      </c>
      <c r="AK74" t="s">
        <v>1636</v>
      </c>
      <c r="AL74" t="s">
        <v>1636</v>
      </c>
      <c r="AM74" t="s">
        <v>1642</v>
      </c>
      <c r="AN74" t="s">
        <v>1637</v>
      </c>
      <c r="AO74" t="s">
        <v>1636</v>
      </c>
      <c r="AP74" t="s">
        <v>1636</v>
      </c>
      <c r="AQ74" t="s">
        <v>1643</v>
      </c>
      <c r="AR74" t="s">
        <v>1636</v>
      </c>
    </row>
    <row r="75" spans="1:44" x14ac:dyDescent="0.3">
      <c r="A75" s="81" t="s">
        <v>1644</v>
      </c>
      <c r="B75" t="s">
        <v>1644</v>
      </c>
      <c r="C75" t="s">
        <v>1644</v>
      </c>
      <c r="D75" t="s">
        <v>1644</v>
      </c>
      <c r="E75" t="s">
        <v>1644</v>
      </c>
      <c r="F75" t="s">
        <v>1644</v>
      </c>
      <c r="G75" t="s">
        <v>1644</v>
      </c>
      <c r="H75" t="s">
        <v>1644</v>
      </c>
      <c r="I75" t="s">
        <v>1644</v>
      </c>
      <c r="J75" t="s">
        <v>1644</v>
      </c>
      <c r="K75" t="s">
        <v>1644</v>
      </c>
      <c r="L75" t="s">
        <v>1644</v>
      </c>
      <c r="M75" t="s">
        <v>1645</v>
      </c>
      <c r="N75" t="s">
        <v>1644</v>
      </c>
      <c r="O75" t="s">
        <v>1644</v>
      </c>
      <c r="P75" t="s">
        <v>1644</v>
      </c>
      <c r="Q75" t="s">
        <v>1644</v>
      </c>
      <c r="R75" t="s">
        <v>1646</v>
      </c>
      <c r="S75" t="s">
        <v>1644</v>
      </c>
      <c r="T75" t="s">
        <v>1644</v>
      </c>
      <c r="U75" t="s">
        <v>1644</v>
      </c>
      <c r="V75" t="s">
        <v>1644</v>
      </c>
      <c r="W75" t="s">
        <v>1644</v>
      </c>
      <c r="X75" t="s">
        <v>1647</v>
      </c>
      <c r="Y75" t="s">
        <v>1644</v>
      </c>
      <c r="Z75" t="s">
        <v>1644</v>
      </c>
      <c r="AA75" t="s">
        <v>1648</v>
      </c>
      <c r="AB75" t="s">
        <v>1644</v>
      </c>
      <c r="AC75" t="s">
        <v>1649</v>
      </c>
      <c r="AD75" t="s">
        <v>1644</v>
      </c>
      <c r="AE75" t="s">
        <v>1644</v>
      </c>
      <c r="AF75" t="s">
        <v>1644</v>
      </c>
      <c r="AG75" t="s">
        <v>1644</v>
      </c>
      <c r="AH75" t="s">
        <v>1644</v>
      </c>
      <c r="AI75" t="s">
        <v>1644</v>
      </c>
      <c r="AJ75" t="s">
        <v>1644</v>
      </c>
      <c r="AK75" t="s">
        <v>1644</v>
      </c>
      <c r="AL75" t="s">
        <v>1644</v>
      </c>
      <c r="AM75" t="s">
        <v>1650</v>
      </c>
      <c r="AN75" t="s">
        <v>1645</v>
      </c>
      <c r="AO75" t="s">
        <v>1644</v>
      </c>
      <c r="AP75" t="s">
        <v>1644</v>
      </c>
      <c r="AQ75" t="s">
        <v>1651</v>
      </c>
      <c r="AR75" t="s">
        <v>1644</v>
      </c>
    </row>
    <row r="76" spans="1:44" x14ac:dyDescent="0.3">
      <c r="A76" s="81" t="s">
        <v>1652</v>
      </c>
      <c r="B76" t="s">
        <v>1652</v>
      </c>
      <c r="C76" t="s">
        <v>1652</v>
      </c>
      <c r="D76" t="s">
        <v>1652</v>
      </c>
      <c r="E76" t="s">
        <v>1652</v>
      </c>
      <c r="F76" t="s">
        <v>1652</v>
      </c>
      <c r="G76" t="s">
        <v>1652</v>
      </c>
      <c r="H76" t="s">
        <v>1652</v>
      </c>
      <c r="I76" t="s">
        <v>1652</v>
      </c>
      <c r="J76" t="s">
        <v>1652</v>
      </c>
      <c r="K76" t="s">
        <v>1652</v>
      </c>
      <c r="L76" t="s">
        <v>1652</v>
      </c>
      <c r="M76" t="s">
        <v>1653</v>
      </c>
      <c r="N76" t="s">
        <v>1652</v>
      </c>
      <c r="O76" t="s">
        <v>1652</v>
      </c>
      <c r="P76" t="s">
        <v>1652</v>
      </c>
      <c r="Q76" t="s">
        <v>1652</v>
      </c>
      <c r="R76" t="s">
        <v>1654</v>
      </c>
      <c r="S76" t="s">
        <v>1652</v>
      </c>
      <c r="T76" t="s">
        <v>1652</v>
      </c>
      <c r="U76" t="s">
        <v>1652</v>
      </c>
      <c r="V76" t="s">
        <v>1652</v>
      </c>
      <c r="W76" t="s">
        <v>1652</v>
      </c>
      <c r="X76" t="s">
        <v>1655</v>
      </c>
      <c r="Y76" t="s">
        <v>1652</v>
      </c>
      <c r="Z76" t="s">
        <v>1652</v>
      </c>
      <c r="AA76" t="s">
        <v>1652</v>
      </c>
      <c r="AB76" t="s">
        <v>1652</v>
      </c>
      <c r="AC76" t="s">
        <v>1656</v>
      </c>
      <c r="AD76" t="s">
        <v>1652</v>
      </c>
      <c r="AE76" t="s">
        <v>1652</v>
      </c>
      <c r="AF76" t="s">
        <v>1652</v>
      </c>
      <c r="AG76" t="s">
        <v>1652</v>
      </c>
      <c r="AH76" t="s">
        <v>1652</v>
      </c>
      <c r="AI76" t="s">
        <v>1652</v>
      </c>
      <c r="AJ76" t="s">
        <v>1652</v>
      </c>
      <c r="AK76" t="s">
        <v>1652</v>
      </c>
      <c r="AL76" t="s">
        <v>1652</v>
      </c>
      <c r="AM76" t="s">
        <v>1657</v>
      </c>
      <c r="AN76" t="s">
        <v>1653</v>
      </c>
      <c r="AO76" t="s">
        <v>1652</v>
      </c>
      <c r="AP76" t="s">
        <v>1652</v>
      </c>
      <c r="AQ76" t="s">
        <v>1658</v>
      </c>
      <c r="AR76" t="s">
        <v>1652</v>
      </c>
    </row>
    <row r="77" spans="1:44" x14ac:dyDescent="0.3">
      <c r="A77" s="81" t="s">
        <v>1659</v>
      </c>
      <c r="B77" t="s">
        <v>1659</v>
      </c>
      <c r="C77" t="s">
        <v>1659</v>
      </c>
      <c r="D77" t="s">
        <v>1659</v>
      </c>
      <c r="E77" t="s">
        <v>1659</v>
      </c>
      <c r="F77" t="s">
        <v>1659</v>
      </c>
      <c r="G77" t="s">
        <v>1659</v>
      </c>
      <c r="H77" t="s">
        <v>1659</v>
      </c>
      <c r="I77" t="s">
        <v>1659</v>
      </c>
      <c r="J77" t="s">
        <v>1659</v>
      </c>
      <c r="K77" t="s">
        <v>1659</v>
      </c>
      <c r="L77" t="s">
        <v>1659</v>
      </c>
      <c r="M77" t="s">
        <v>1660</v>
      </c>
      <c r="N77" t="s">
        <v>1659</v>
      </c>
      <c r="O77" t="s">
        <v>1659</v>
      </c>
      <c r="P77" t="s">
        <v>1659</v>
      </c>
      <c r="Q77" t="s">
        <v>1659</v>
      </c>
      <c r="R77" t="s">
        <v>1661</v>
      </c>
      <c r="S77" t="s">
        <v>1659</v>
      </c>
      <c r="T77" t="s">
        <v>1659</v>
      </c>
      <c r="U77" t="s">
        <v>1659</v>
      </c>
      <c r="V77" t="s">
        <v>1659</v>
      </c>
      <c r="W77" t="s">
        <v>1659</v>
      </c>
      <c r="X77" t="s">
        <v>1662</v>
      </c>
      <c r="Y77" t="s">
        <v>1659</v>
      </c>
      <c r="Z77" t="s">
        <v>1659</v>
      </c>
      <c r="AA77" t="s">
        <v>1659</v>
      </c>
      <c r="AB77" t="s">
        <v>1659</v>
      </c>
      <c r="AC77" t="s">
        <v>1663</v>
      </c>
      <c r="AD77" t="s">
        <v>1659</v>
      </c>
      <c r="AE77" t="s">
        <v>1659</v>
      </c>
      <c r="AF77" t="s">
        <v>1659</v>
      </c>
      <c r="AG77" t="s">
        <v>1659</v>
      </c>
      <c r="AH77" t="s">
        <v>1659</v>
      </c>
      <c r="AI77" t="s">
        <v>1659</v>
      </c>
      <c r="AJ77" t="s">
        <v>1659</v>
      </c>
      <c r="AK77" t="s">
        <v>1659</v>
      </c>
      <c r="AL77" t="s">
        <v>1659</v>
      </c>
      <c r="AM77" t="s">
        <v>1664</v>
      </c>
      <c r="AN77" t="s">
        <v>1660</v>
      </c>
      <c r="AO77" t="s">
        <v>1659</v>
      </c>
      <c r="AP77" t="s">
        <v>1659</v>
      </c>
      <c r="AQ77" t="s">
        <v>1665</v>
      </c>
      <c r="AR77" t="s">
        <v>1659</v>
      </c>
    </row>
    <row r="78" spans="1:44" x14ac:dyDescent="0.3">
      <c r="A78" s="81" t="s">
        <v>1666</v>
      </c>
      <c r="B78" t="s">
        <v>1666</v>
      </c>
      <c r="C78" t="s">
        <v>1666</v>
      </c>
      <c r="D78" t="s">
        <v>1666</v>
      </c>
      <c r="E78" t="s">
        <v>1666</v>
      </c>
      <c r="F78" t="s">
        <v>1666</v>
      </c>
      <c r="G78" t="s">
        <v>1666</v>
      </c>
      <c r="H78" t="s">
        <v>1666</v>
      </c>
      <c r="I78" t="s">
        <v>1666</v>
      </c>
      <c r="J78" t="s">
        <v>1666</v>
      </c>
      <c r="K78" t="s">
        <v>1666</v>
      </c>
      <c r="L78" t="s">
        <v>1666</v>
      </c>
      <c r="M78" t="s">
        <v>1667</v>
      </c>
      <c r="N78" t="s">
        <v>1666</v>
      </c>
      <c r="O78" t="s">
        <v>1666</v>
      </c>
      <c r="P78" t="s">
        <v>1666</v>
      </c>
      <c r="Q78" t="s">
        <v>1666</v>
      </c>
      <c r="R78" t="s">
        <v>1668</v>
      </c>
      <c r="S78" t="s">
        <v>1666</v>
      </c>
      <c r="T78" t="s">
        <v>1666</v>
      </c>
      <c r="U78" t="s">
        <v>1666</v>
      </c>
      <c r="V78" t="s">
        <v>1666</v>
      </c>
      <c r="W78" t="s">
        <v>1666</v>
      </c>
      <c r="X78" t="s">
        <v>1669</v>
      </c>
      <c r="Y78" t="s">
        <v>1666</v>
      </c>
      <c r="Z78" t="s">
        <v>1666</v>
      </c>
      <c r="AA78" t="s">
        <v>1666</v>
      </c>
      <c r="AB78" t="s">
        <v>1666</v>
      </c>
      <c r="AC78" t="s">
        <v>1670</v>
      </c>
      <c r="AD78" t="s">
        <v>1666</v>
      </c>
      <c r="AE78" t="s">
        <v>1666</v>
      </c>
      <c r="AF78" t="s">
        <v>1666</v>
      </c>
      <c r="AG78" t="s">
        <v>1666</v>
      </c>
      <c r="AH78" t="s">
        <v>1666</v>
      </c>
      <c r="AI78" t="s">
        <v>1666</v>
      </c>
      <c r="AJ78" t="s">
        <v>1666</v>
      </c>
      <c r="AK78" t="s">
        <v>1666</v>
      </c>
      <c r="AL78" t="s">
        <v>1666</v>
      </c>
      <c r="AM78" t="s">
        <v>1671</v>
      </c>
      <c r="AN78" t="s">
        <v>1667</v>
      </c>
      <c r="AO78" t="s">
        <v>1666</v>
      </c>
      <c r="AP78" t="s">
        <v>1666</v>
      </c>
      <c r="AQ78" t="s">
        <v>1672</v>
      </c>
      <c r="AR78" t="s">
        <v>1666</v>
      </c>
    </row>
    <row r="79" spans="1:44" x14ac:dyDescent="0.3">
      <c r="A79" s="81" t="s">
        <v>1673</v>
      </c>
      <c r="B79" t="s">
        <v>1673</v>
      </c>
      <c r="C79" t="s">
        <v>1673</v>
      </c>
      <c r="D79" t="s">
        <v>1673</v>
      </c>
      <c r="E79" t="s">
        <v>1673</v>
      </c>
      <c r="F79" t="s">
        <v>1673</v>
      </c>
      <c r="G79" t="s">
        <v>1673</v>
      </c>
      <c r="H79" t="s">
        <v>1673</v>
      </c>
      <c r="I79" t="s">
        <v>1673</v>
      </c>
      <c r="J79" t="s">
        <v>1673</v>
      </c>
      <c r="K79" t="s">
        <v>1673</v>
      </c>
      <c r="L79" t="s">
        <v>1673</v>
      </c>
      <c r="M79" t="s">
        <v>1674</v>
      </c>
      <c r="N79" t="s">
        <v>1673</v>
      </c>
      <c r="O79" t="s">
        <v>1673</v>
      </c>
      <c r="P79" t="s">
        <v>1673</v>
      </c>
      <c r="Q79" t="s">
        <v>1673</v>
      </c>
      <c r="R79" t="s">
        <v>1675</v>
      </c>
      <c r="S79" t="s">
        <v>1673</v>
      </c>
      <c r="T79" t="s">
        <v>1673</v>
      </c>
      <c r="U79" t="s">
        <v>1673</v>
      </c>
      <c r="V79" t="s">
        <v>1673</v>
      </c>
      <c r="W79" t="s">
        <v>1673</v>
      </c>
      <c r="X79" t="s">
        <v>1676</v>
      </c>
      <c r="Y79" t="s">
        <v>1673</v>
      </c>
      <c r="Z79" t="s">
        <v>1673</v>
      </c>
      <c r="AA79" t="s">
        <v>1673</v>
      </c>
      <c r="AB79" t="s">
        <v>1673</v>
      </c>
      <c r="AC79" t="s">
        <v>1677</v>
      </c>
      <c r="AD79" t="s">
        <v>1673</v>
      </c>
      <c r="AE79" t="s">
        <v>1673</v>
      </c>
      <c r="AF79" t="s">
        <v>1673</v>
      </c>
      <c r="AG79" t="s">
        <v>1673</v>
      </c>
      <c r="AH79" t="s">
        <v>1673</v>
      </c>
      <c r="AI79" t="s">
        <v>1673</v>
      </c>
      <c r="AJ79" t="s">
        <v>1673</v>
      </c>
      <c r="AK79" t="s">
        <v>1673</v>
      </c>
      <c r="AL79" t="s">
        <v>1673</v>
      </c>
      <c r="AM79" t="s">
        <v>1678</v>
      </c>
      <c r="AN79" t="s">
        <v>1674</v>
      </c>
      <c r="AO79" t="s">
        <v>1673</v>
      </c>
      <c r="AP79" t="s">
        <v>1673</v>
      </c>
      <c r="AQ79" t="s">
        <v>1679</v>
      </c>
      <c r="AR79" t="s">
        <v>1673</v>
      </c>
    </row>
    <row r="80" spans="1:44" x14ac:dyDescent="0.3">
      <c r="A80" s="81" t="s">
        <v>1680</v>
      </c>
      <c r="B80" t="s">
        <v>1680</v>
      </c>
      <c r="C80" t="s">
        <v>1680</v>
      </c>
      <c r="D80" t="s">
        <v>1680</v>
      </c>
      <c r="E80" t="s">
        <v>1680</v>
      </c>
      <c r="F80" t="s">
        <v>1680</v>
      </c>
      <c r="G80" t="s">
        <v>1680</v>
      </c>
      <c r="H80" t="s">
        <v>1680</v>
      </c>
      <c r="I80" t="s">
        <v>1680</v>
      </c>
      <c r="J80" t="s">
        <v>1680</v>
      </c>
      <c r="K80" t="s">
        <v>1680</v>
      </c>
      <c r="L80" t="s">
        <v>1680</v>
      </c>
      <c r="M80" t="s">
        <v>1681</v>
      </c>
      <c r="N80" t="s">
        <v>1680</v>
      </c>
      <c r="O80" t="s">
        <v>1680</v>
      </c>
      <c r="P80" t="s">
        <v>1680</v>
      </c>
      <c r="Q80" t="s">
        <v>1680</v>
      </c>
      <c r="R80" t="s">
        <v>1682</v>
      </c>
      <c r="S80" t="s">
        <v>1680</v>
      </c>
      <c r="T80" t="s">
        <v>1680</v>
      </c>
      <c r="U80" t="s">
        <v>1680</v>
      </c>
      <c r="V80" t="s">
        <v>1680</v>
      </c>
      <c r="W80" t="s">
        <v>1680</v>
      </c>
      <c r="X80" t="s">
        <v>1683</v>
      </c>
      <c r="Y80" t="s">
        <v>1680</v>
      </c>
      <c r="Z80" t="s">
        <v>1680</v>
      </c>
      <c r="AA80" t="s">
        <v>1680</v>
      </c>
      <c r="AB80" t="s">
        <v>1680</v>
      </c>
      <c r="AC80" t="s">
        <v>1684</v>
      </c>
      <c r="AD80" t="s">
        <v>1680</v>
      </c>
      <c r="AE80" t="s">
        <v>1680</v>
      </c>
      <c r="AF80" t="s">
        <v>1680</v>
      </c>
      <c r="AG80" t="s">
        <v>1680</v>
      </c>
      <c r="AH80" t="s">
        <v>1680</v>
      </c>
      <c r="AI80" t="s">
        <v>1680</v>
      </c>
      <c r="AJ80" t="s">
        <v>1680</v>
      </c>
      <c r="AK80" t="s">
        <v>1680</v>
      </c>
      <c r="AL80" t="s">
        <v>1680</v>
      </c>
      <c r="AM80" t="s">
        <v>1685</v>
      </c>
      <c r="AN80" t="s">
        <v>1681</v>
      </c>
      <c r="AO80" t="s">
        <v>1680</v>
      </c>
      <c r="AP80" t="s">
        <v>1680</v>
      </c>
      <c r="AQ80" t="s">
        <v>1686</v>
      </c>
      <c r="AR80" t="s">
        <v>1680</v>
      </c>
    </row>
    <row r="81" spans="1:44" x14ac:dyDescent="0.3">
      <c r="A81" s="81" t="s">
        <v>1687</v>
      </c>
      <c r="B81" t="s">
        <v>1687</v>
      </c>
      <c r="C81" t="s">
        <v>1687</v>
      </c>
      <c r="D81" t="s">
        <v>1687</v>
      </c>
      <c r="E81" t="s">
        <v>1687</v>
      </c>
      <c r="F81" t="s">
        <v>1687</v>
      </c>
      <c r="G81" t="s">
        <v>1687</v>
      </c>
      <c r="H81" t="s">
        <v>1687</v>
      </c>
      <c r="I81" t="s">
        <v>1687</v>
      </c>
      <c r="J81" t="s">
        <v>1687</v>
      </c>
      <c r="K81" t="s">
        <v>1687</v>
      </c>
      <c r="L81" t="s">
        <v>1687</v>
      </c>
      <c r="M81" t="s">
        <v>1688</v>
      </c>
      <c r="N81" t="s">
        <v>1687</v>
      </c>
      <c r="O81" t="s">
        <v>1687</v>
      </c>
      <c r="P81" t="s">
        <v>1687</v>
      </c>
      <c r="Q81" t="s">
        <v>1687</v>
      </c>
      <c r="R81" t="s">
        <v>1689</v>
      </c>
      <c r="S81" t="s">
        <v>1687</v>
      </c>
      <c r="T81" t="s">
        <v>1687</v>
      </c>
      <c r="U81" t="s">
        <v>1687</v>
      </c>
      <c r="V81" t="s">
        <v>1687</v>
      </c>
      <c r="W81" t="s">
        <v>1687</v>
      </c>
      <c r="X81" t="s">
        <v>1690</v>
      </c>
      <c r="Y81" t="s">
        <v>1687</v>
      </c>
      <c r="Z81" t="s">
        <v>1687</v>
      </c>
      <c r="AA81" t="s">
        <v>1687</v>
      </c>
      <c r="AB81" t="s">
        <v>1687</v>
      </c>
      <c r="AC81" t="s">
        <v>1691</v>
      </c>
      <c r="AD81" t="s">
        <v>1687</v>
      </c>
      <c r="AE81" t="s">
        <v>1687</v>
      </c>
      <c r="AF81" t="s">
        <v>1687</v>
      </c>
      <c r="AG81" t="s">
        <v>1687</v>
      </c>
      <c r="AH81" t="s">
        <v>1687</v>
      </c>
      <c r="AI81" t="s">
        <v>1687</v>
      </c>
      <c r="AJ81" t="s">
        <v>1687</v>
      </c>
      <c r="AK81" t="s">
        <v>1687</v>
      </c>
      <c r="AL81" t="s">
        <v>1687</v>
      </c>
      <c r="AM81" t="s">
        <v>1692</v>
      </c>
      <c r="AN81" t="s">
        <v>1688</v>
      </c>
      <c r="AO81" t="s">
        <v>1687</v>
      </c>
      <c r="AP81" t="s">
        <v>1687</v>
      </c>
      <c r="AQ81" t="s">
        <v>1693</v>
      </c>
      <c r="AR81" t="s">
        <v>1687</v>
      </c>
    </row>
    <row r="82" spans="1:44" x14ac:dyDescent="0.3">
      <c r="A82" s="81" t="s">
        <v>1694</v>
      </c>
      <c r="B82" t="s">
        <v>1694</v>
      </c>
      <c r="C82" t="s">
        <v>1694</v>
      </c>
      <c r="D82" t="s">
        <v>1694</v>
      </c>
      <c r="E82" t="s">
        <v>1694</v>
      </c>
      <c r="F82" t="s">
        <v>1694</v>
      </c>
      <c r="G82" t="s">
        <v>1694</v>
      </c>
      <c r="H82" t="s">
        <v>1694</v>
      </c>
      <c r="I82" t="s">
        <v>1694</v>
      </c>
      <c r="J82" t="s">
        <v>1694</v>
      </c>
      <c r="K82" t="s">
        <v>1694</v>
      </c>
      <c r="L82" t="s">
        <v>1694</v>
      </c>
      <c r="M82" t="s">
        <v>1695</v>
      </c>
      <c r="N82" t="s">
        <v>1694</v>
      </c>
      <c r="O82" t="s">
        <v>1694</v>
      </c>
      <c r="P82" t="s">
        <v>1694</v>
      </c>
      <c r="Q82" t="s">
        <v>1694</v>
      </c>
      <c r="R82" t="s">
        <v>1696</v>
      </c>
      <c r="S82" t="s">
        <v>1694</v>
      </c>
      <c r="T82" t="s">
        <v>1694</v>
      </c>
      <c r="U82" t="s">
        <v>1694</v>
      </c>
      <c r="V82" t="s">
        <v>1694</v>
      </c>
      <c r="W82" t="s">
        <v>1694</v>
      </c>
      <c r="X82" t="s">
        <v>1697</v>
      </c>
      <c r="Y82" t="s">
        <v>1694</v>
      </c>
      <c r="Z82" t="s">
        <v>1694</v>
      </c>
      <c r="AA82" t="s">
        <v>1698</v>
      </c>
      <c r="AB82" t="s">
        <v>1694</v>
      </c>
      <c r="AC82" t="s">
        <v>1699</v>
      </c>
      <c r="AD82" t="s">
        <v>1694</v>
      </c>
      <c r="AE82" t="s">
        <v>1694</v>
      </c>
      <c r="AF82" t="s">
        <v>1694</v>
      </c>
      <c r="AG82" t="s">
        <v>1694</v>
      </c>
      <c r="AH82" t="s">
        <v>1694</v>
      </c>
      <c r="AI82" t="s">
        <v>1694</v>
      </c>
      <c r="AJ82" t="s">
        <v>1694</v>
      </c>
      <c r="AK82" t="s">
        <v>1694</v>
      </c>
      <c r="AL82" t="s">
        <v>1694</v>
      </c>
      <c r="AM82" t="s">
        <v>1700</v>
      </c>
      <c r="AN82" t="s">
        <v>1695</v>
      </c>
      <c r="AO82" t="s">
        <v>1694</v>
      </c>
      <c r="AP82" t="s">
        <v>1694</v>
      </c>
      <c r="AQ82" t="s">
        <v>1701</v>
      </c>
      <c r="AR82" t="s">
        <v>1694</v>
      </c>
    </row>
    <row r="83" spans="1:44" x14ac:dyDescent="0.3">
      <c r="A83" s="81" t="s">
        <v>1702</v>
      </c>
      <c r="B83" t="s">
        <v>1702</v>
      </c>
      <c r="C83" t="s">
        <v>1702</v>
      </c>
      <c r="D83" t="s">
        <v>1702</v>
      </c>
      <c r="E83" t="s">
        <v>1702</v>
      </c>
      <c r="F83" t="s">
        <v>1702</v>
      </c>
      <c r="G83" t="s">
        <v>1702</v>
      </c>
      <c r="H83" t="s">
        <v>1702</v>
      </c>
      <c r="I83" t="s">
        <v>1702</v>
      </c>
      <c r="J83" t="s">
        <v>1702</v>
      </c>
      <c r="K83" t="s">
        <v>1702</v>
      </c>
      <c r="L83" t="s">
        <v>1702</v>
      </c>
      <c r="M83" t="s">
        <v>1703</v>
      </c>
      <c r="N83" t="s">
        <v>1702</v>
      </c>
      <c r="O83" t="s">
        <v>1702</v>
      </c>
      <c r="P83" t="s">
        <v>1702</v>
      </c>
      <c r="Q83" t="s">
        <v>1702</v>
      </c>
      <c r="R83" t="s">
        <v>1704</v>
      </c>
      <c r="S83" t="s">
        <v>1702</v>
      </c>
      <c r="T83" t="s">
        <v>1702</v>
      </c>
      <c r="U83" t="s">
        <v>1702</v>
      </c>
      <c r="V83" t="s">
        <v>1702</v>
      </c>
      <c r="W83" t="s">
        <v>1702</v>
      </c>
      <c r="X83" t="s">
        <v>1705</v>
      </c>
      <c r="Y83" t="s">
        <v>1702</v>
      </c>
      <c r="Z83" t="s">
        <v>1702</v>
      </c>
      <c r="AA83" t="s">
        <v>1706</v>
      </c>
      <c r="AB83" t="s">
        <v>1702</v>
      </c>
      <c r="AC83" t="s">
        <v>1707</v>
      </c>
      <c r="AD83" t="s">
        <v>1702</v>
      </c>
      <c r="AE83" t="s">
        <v>1702</v>
      </c>
      <c r="AF83" t="s">
        <v>1702</v>
      </c>
      <c r="AG83" t="s">
        <v>1702</v>
      </c>
      <c r="AH83" t="s">
        <v>1702</v>
      </c>
      <c r="AI83" t="s">
        <v>1702</v>
      </c>
      <c r="AJ83" t="s">
        <v>1702</v>
      </c>
      <c r="AK83" t="s">
        <v>1702</v>
      </c>
      <c r="AL83" t="s">
        <v>1702</v>
      </c>
      <c r="AM83" t="s">
        <v>1708</v>
      </c>
      <c r="AN83" t="s">
        <v>1703</v>
      </c>
      <c r="AO83" t="s">
        <v>1702</v>
      </c>
      <c r="AP83" t="s">
        <v>1702</v>
      </c>
      <c r="AQ83" t="s">
        <v>1709</v>
      </c>
      <c r="AR83" t="s">
        <v>1702</v>
      </c>
    </row>
    <row r="84" spans="1:44" x14ac:dyDescent="0.3">
      <c r="A84" s="81" t="s">
        <v>1710</v>
      </c>
      <c r="B84" t="s">
        <v>1710</v>
      </c>
      <c r="C84" t="s">
        <v>1710</v>
      </c>
      <c r="D84" t="s">
        <v>1710</v>
      </c>
      <c r="E84" t="s">
        <v>1710</v>
      </c>
      <c r="F84" t="s">
        <v>1710</v>
      </c>
      <c r="G84" t="s">
        <v>1710</v>
      </c>
      <c r="H84" t="s">
        <v>1710</v>
      </c>
      <c r="I84" t="s">
        <v>1710</v>
      </c>
      <c r="J84" t="s">
        <v>1710</v>
      </c>
      <c r="K84" t="s">
        <v>1710</v>
      </c>
      <c r="L84" t="s">
        <v>1710</v>
      </c>
      <c r="M84" t="s">
        <v>1711</v>
      </c>
      <c r="N84" t="s">
        <v>1710</v>
      </c>
      <c r="O84" t="s">
        <v>1710</v>
      </c>
      <c r="P84" t="s">
        <v>1710</v>
      </c>
      <c r="Q84" t="s">
        <v>1710</v>
      </c>
      <c r="R84" t="s">
        <v>1710</v>
      </c>
      <c r="S84" t="s">
        <v>1710</v>
      </c>
      <c r="T84" t="s">
        <v>1710</v>
      </c>
      <c r="U84" t="s">
        <v>1710</v>
      </c>
      <c r="V84" t="s">
        <v>1710</v>
      </c>
      <c r="W84" t="s">
        <v>1710</v>
      </c>
      <c r="X84" t="s">
        <v>1712</v>
      </c>
      <c r="Y84" t="s">
        <v>1710</v>
      </c>
      <c r="Z84" t="s">
        <v>1710</v>
      </c>
      <c r="AA84" t="s">
        <v>1713</v>
      </c>
      <c r="AB84" t="s">
        <v>1710</v>
      </c>
      <c r="AC84" t="s">
        <v>1714</v>
      </c>
      <c r="AD84" t="s">
        <v>1710</v>
      </c>
      <c r="AE84" t="s">
        <v>1710</v>
      </c>
      <c r="AF84" t="s">
        <v>1710</v>
      </c>
      <c r="AG84" t="s">
        <v>1710</v>
      </c>
      <c r="AH84" t="s">
        <v>1710</v>
      </c>
      <c r="AI84" t="s">
        <v>1710</v>
      </c>
      <c r="AJ84" t="s">
        <v>1710</v>
      </c>
      <c r="AK84" t="s">
        <v>1710</v>
      </c>
      <c r="AL84" t="s">
        <v>1710</v>
      </c>
      <c r="AM84" t="s">
        <v>1715</v>
      </c>
      <c r="AN84" t="s">
        <v>1711</v>
      </c>
      <c r="AO84" t="s">
        <v>1710</v>
      </c>
      <c r="AP84" t="s">
        <v>1710</v>
      </c>
      <c r="AQ84" t="s">
        <v>1716</v>
      </c>
      <c r="AR84" t="s">
        <v>1710</v>
      </c>
    </row>
    <row r="85" spans="1:44" x14ac:dyDescent="0.3">
      <c r="A85" s="81" t="s">
        <v>1717</v>
      </c>
      <c r="B85" t="s">
        <v>1717</v>
      </c>
      <c r="C85" t="s">
        <v>1717</v>
      </c>
      <c r="D85" t="s">
        <v>1717</v>
      </c>
      <c r="E85" t="s">
        <v>1717</v>
      </c>
      <c r="F85" t="s">
        <v>1717</v>
      </c>
      <c r="G85" t="s">
        <v>1717</v>
      </c>
      <c r="H85" t="s">
        <v>1717</v>
      </c>
      <c r="I85" t="s">
        <v>1717</v>
      </c>
      <c r="J85" t="s">
        <v>1717</v>
      </c>
      <c r="K85" t="s">
        <v>1717</v>
      </c>
      <c r="L85" t="s">
        <v>1717</v>
      </c>
      <c r="M85" t="s">
        <v>1718</v>
      </c>
      <c r="N85" t="s">
        <v>1717</v>
      </c>
      <c r="O85" t="s">
        <v>1717</v>
      </c>
      <c r="P85" t="s">
        <v>1717</v>
      </c>
      <c r="Q85" t="s">
        <v>1717</v>
      </c>
      <c r="R85" t="s">
        <v>1717</v>
      </c>
      <c r="S85" t="s">
        <v>1717</v>
      </c>
      <c r="T85" t="s">
        <v>1717</v>
      </c>
      <c r="U85" t="s">
        <v>1717</v>
      </c>
      <c r="V85" t="s">
        <v>1717</v>
      </c>
      <c r="W85" t="s">
        <v>1717</v>
      </c>
      <c r="X85" t="s">
        <v>1719</v>
      </c>
      <c r="Y85" t="s">
        <v>1717</v>
      </c>
      <c r="Z85" t="s">
        <v>1717</v>
      </c>
      <c r="AA85" t="s">
        <v>1713</v>
      </c>
      <c r="AB85" t="s">
        <v>1717</v>
      </c>
      <c r="AC85" t="s">
        <v>1720</v>
      </c>
      <c r="AD85" t="s">
        <v>1717</v>
      </c>
      <c r="AE85" t="s">
        <v>1717</v>
      </c>
      <c r="AF85" t="s">
        <v>1717</v>
      </c>
      <c r="AG85" t="s">
        <v>1717</v>
      </c>
      <c r="AH85" t="s">
        <v>1717</v>
      </c>
      <c r="AI85" t="s">
        <v>1717</v>
      </c>
      <c r="AJ85" t="s">
        <v>1717</v>
      </c>
      <c r="AK85" t="s">
        <v>1717</v>
      </c>
      <c r="AL85" t="s">
        <v>1717</v>
      </c>
      <c r="AM85" t="s">
        <v>1721</v>
      </c>
      <c r="AN85" t="s">
        <v>1718</v>
      </c>
      <c r="AO85" t="s">
        <v>1717</v>
      </c>
      <c r="AP85" t="s">
        <v>1717</v>
      </c>
      <c r="AQ85" t="s">
        <v>1722</v>
      </c>
      <c r="AR85" t="s">
        <v>1717</v>
      </c>
    </row>
    <row r="86" spans="1:44" x14ac:dyDescent="0.3">
      <c r="A86" s="81" t="s">
        <v>1723</v>
      </c>
      <c r="B86" t="s">
        <v>1724</v>
      </c>
      <c r="C86" t="s">
        <v>1723</v>
      </c>
      <c r="D86" t="s">
        <v>1723</v>
      </c>
      <c r="E86" t="s">
        <v>1725</v>
      </c>
      <c r="F86" t="s">
        <v>1723</v>
      </c>
      <c r="G86" t="s">
        <v>1726</v>
      </c>
      <c r="H86" t="s">
        <v>1727</v>
      </c>
      <c r="I86" t="s">
        <v>1723</v>
      </c>
      <c r="J86" t="s">
        <v>1723</v>
      </c>
      <c r="K86" t="s">
        <v>1728</v>
      </c>
      <c r="L86" t="s">
        <v>1728</v>
      </c>
      <c r="M86" t="s">
        <v>1723</v>
      </c>
      <c r="N86" t="s">
        <v>1728</v>
      </c>
      <c r="O86" t="s">
        <v>1723</v>
      </c>
      <c r="P86" t="s">
        <v>1729</v>
      </c>
      <c r="Q86" t="s">
        <v>1723</v>
      </c>
      <c r="R86" t="s">
        <v>1730</v>
      </c>
      <c r="S86" t="s">
        <v>1723</v>
      </c>
      <c r="T86" t="s">
        <v>1731</v>
      </c>
      <c r="U86" t="s">
        <v>1723</v>
      </c>
      <c r="V86" t="s">
        <v>1723</v>
      </c>
      <c r="W86" t="s">
        <v>1723</v>
      </c>
      <c r="X86" t="s">
        <v>1732</v>
      </c>
      <c r="Y86" t="s">
        <v>1733</v>
      </c>
      <c r="Z86" t="s">
        <v>1734</v>
      </c>
      <c r="AA86" t="s">
        <v>1735</v>
      </c>
      <c r="AB86" t="s">
        <v>1728</v>
      </c>
      <c r="AC86" t="s">
        <v>1736</v>
      </c>
      <c r="AD86" t="s">
        <v>1723</v>
      </c>
      <c r="AE86" t="s">
        <v>1723</v>
      </c>
      <c r="AF86" t="s">
        <v>1737</v>
      </c>
      <c r="AG86" t="s">
        <v>1723</v>
      </c>
      <c r="AH86" t="s">
        <v>1738</v>
      </c>
      <c r="AI86" t="s">
        <v>1728</v>
      </c>
      <c r="AJ86" t="s">
        <v>1723</v>
      </c>
      <c r="AK86" t="s">
        <v>1723</v>
      </c>
      <c r="AL86" t="s">
        <v>1723</v>
      </c>
      <c r="AM86" t="s">
        <v>1739</v>
      </c>
      <c r="AN86" t="s">
        <v>1726</v>
      </c>
      <c r="AO86" t="s">
        <v>1740</v>
      </c>
      <c r="AP86" t="s">
        <v>1741</v>
      </c>
      <c r="AQ86" t="s">
        <v>1742</v>
      </c>
      <c r="AR86" t="s">
        <v>1723</v>
      </c>
    </row>
    <row r="87" spans="1:44" x14ac:dyDescent="0.3">
      <c r="A87" s="81" t="s">
        <v>1743</v>
      </c>
      <c r="B87" t="s">
        <v>1744</v>
      </c>
      <c r="C87" t="s">
        <v>1743</v>
      </c>
      <c r="D87" t="s">
        <v>1743</v>
      </c>
      <c r="E87" t="s">
        <v>1745</v>
      </c>
      <c r="F87" t="s">
        <v>1743</v>
      </c>
      <c r="G87" t="s">
        <v>1746</v>
      </c>
      <c r="H87" t="s">
        <v>1747</v>
      </c>
      <c r="I87" t="s">
        <v>1743</v>
      </c>
      <c r="J87" t="s">
        <v>1743</v>
      </c>
      <c r="K87" t="s">
        <v>1748</v>
      </c>
      <c r="L87" t="s">
        <v>1748</v>
      </c>
      <c r="M87" t="s">
        <v>1743</v>
      </c>
      <c r="N87" t="s">
        <v>1748</v>
      </c>
      <c r="O87" t="s">
        <v>1743</v>
      </c>
      <c r="P87" t="s">
        <v>1749</v>
      </c>
      <c r="Q87" t="s">
        <v>1743</v>
      </c>
      <c r="R87" t="s">
        <v>1750</v>
      </c>
      <c r="S87" t="s">
        <v>1743</v>
      </c>
      <c r="T87" t="s">
        <v>1751</v>
      </c>
      <c r="U87" t="s">
        <v>1743</v>
      </c>
      <c r="V87" t="s">
        <v>1743</v>
      </c>
      <c r="W87" t="s">
        <v>1743</v>
      </c>
      <c r="X87" t="s">
        <v>1752</v>
      </c>
      <c r="Y87" t="s">
        <v>1753</v>
      </c>
      <c r="Z87" t="s">
        <v>1754</v>
      </c>
      <c r="AA87" t="s">
        <v>1755</v>
      </c>
      <c r="AB87" t="s">
        <v>1748</v>
      </c>
      <c r="AC87" t="s">
        <v>1756</v>
      </c>
      <c r="AD87" t="s">
        <v>1743</v>
      </c>
      <c r="AE87" t="s">
        <v>1743</v>
      </c>
      <c r="AF87" t="s">
        <v>1757</v>
      </c>
      <c r="AG87" t="s">
        <v>1743</v>
      </c>
      <c r="AH87" t="s">
        <v>1758</v>
      </c>
      <c r="AI87" t="s">
        <v>1748</v>
      </c>
      <c r="AJ87" t="s">
        <v>1743</v>
      </c>
      <c r="AK87" t="s">
        <v>1743</v>
      </c>
      <c r="AL87" t="s">
        <v>1743</v>
      </c>
      <c r="AM87" t="s">
        <v>1759</v>
      </c>
      <c r="AN87" t="s">
        <v>1746</v>
      </c>
      <c r="AO87" t="s">
        <v>1760</v>
      </c>
      <c r="AP87" t="s">
        <v>1761</v>
      </c>
      <c r="AQ87" t="s">
        <v>1762</v>
      </c>
      <c r="AR87" t="s">
        <v>1743</v>
      </c>
    </row>
    <row r="88" spans="1:44" x14ac:dyDescent="0.3">
      <c r="A88" s="81" t="s">
        <v>1763</v>
      </c>
      <c r="B88" t="s">
        <v>1764</v>
      </c>
      <c r="C88" t="s">
        <v>1763</v>
      </c>
      <c r="D88" t="s">
        <v>1763</v>
      </c>
      <c r="E88" t="s">
        <v>1765</v>
      </c>
      <c r="F88" t="s">
        <v>1763</v>
      </c>
      <c r="G88" t="s">
        <v>1766</v>
      </c>
      <c r="H88" t="s">
        <v>1767</v>
      </c>
      <c r="I88" t="s">
        <v>1763</v>
      </c>
      <c r="J88" t="s">
        <v>1763</v>
      </c>
      <c r="K88" t="s">
        <v>1768</v>
      </c>
      <c r="L88" t="s">
        <v>1768</v>
      </c>
      <c r="M88" t="s">
        <v>1763</v>
      </c>
      <c r="N88" t="s">
        <v>1768</v>
      </c>
      <c r="O88" t="s">
        <v>1763</v>
      </c>
      <c r="P88" t="s">
        <v>1769</v>
      </c>
      <c r="Q88" t="s">
        <v>1763</v>
      </c>
      <c r="R88" t="s">
        <v>1770</v>
      </c>
      <c r="S88" t="s">
        <v>1763</v>
      </c>
      <c r="T88" t="s">
        <v>1771</v>
      </c>
      <c r="U88" t="s">
        <v>1763</v>
      </c>
      <c r="V88" t="s">
        <v>1763</v>
      </c>
      <c r="W88" t="s">
        <v>1763</v>
      </c>
      <c r="X88" t="s">
        <v>1772</v>
      </c>
      <c r="Y88" t="s">
        <v>1773</v>
      </c>
      <c r="Z88" t="s">
        <v>1774</v>
      </c>
      <c r="AA88" t="s">
        <v>1775</v>
      </c>
      <c r="AB88" t="s">
        <v>1768</v>
      </c>
      <c r="AC88" t="s">
        <v>1776</v>
      </c>
      <c r="AD88" t="s">
        <v>1763</v>
      </c>
      <c r="AE88" t="s">
        <v>1763</v>
      </c>
      <c r="AF88" t="s">
        <v>1777</v>
      </c>
      <c r="AG88" t="s">
        <v>1763</v>
      </c>
      <c r="AH88" t="s">
        <v>1778</v>
      </c>
      <c r="AI88" t="s">
        <v>1768</v>
      </c>
      <c r="AJ88" t="s">
        <v>1763</v>
      </c>
      <c r="AK88" t="s">
        <v>1763</v>
      </c>
      <c r="AL88" t="s">
        <v>1763</v>
      </c>
      <c r="AM88" t="s">
        <v>1779</v>
      </c>
      <c r="AN88" t="s">
        <v>1766</v>
      </c>
      <c r="AO88" t="s">
        <v>1780</v>
      </c>
      <c r="AP88" t="s">
        <v>1781</v>
      </c>
      <c r="AQ88" t="s">
        <v>1782</v>
      </c>
      <c r="AR88" t="s">
        <v>1763</v>
      </c>
    </row>
    <row r="89" spans="1:44" x14ac:dyDescent="0.3">
      <c r="A89" s="81" t="s">
        <v>1783</v>
      </c>
      <c r="B89" t="s">
        <v>1784</v>
      </c>
      <c r="C89" t="s">
        <v>1783</v>
      </c>
      <c r="D89" t="s">
        <v>1783</v>
      </c>
      <c r="E89" t="s">
        <v>1785</v>
      </c>
      <c r="F89" t="s">
        <v>1783</v>
      </c>
      <c r="G89" t="s">
        <v>1786</v>
      </c>
      <c r="H89" t="s">
        <v>1787</v>
      </c>
      <c r="I89" t="s">
        <v>1783</v>
      </c>
      <c r="J89" t="s">
        <v>1783</v>
      </c>
      <c r="K89" t="s">
        <v>1788</v>
      </c>
      <c r="L89" t="s">
        <v>1788</v>
      </c>
      <c r="M89" t="s">
        <v>1783</v>
      </c>
      <c r="N89" t="s">
        <v>1788</v>
      </c>
      <c r="O89" t="s">
        <v>1783</v>
      </c>
      <c r="P89" t="s">
        <v>1789</v>
      </c>
      <c r="Q89" t="s">
        <v>1783</v>
      </c>
      <c r="R89" t="s">
        <v>1790</v>
      </c>
      <c r="S89" t="s">
        <v>1783</v>
      </c>
      <c r="T89" t="s">
        <v>1791</v>
      </c>
      <c r="U89" t="s">
        <v>1783</v>
      </c>
      <c r="V89" t="s">
        <v>1783</v>
      </c>
      <c r="W89" t="s">
        <v>1783</v>
      </c>
      <c r="X89" t="s">
        <v>1792</v>
      </c>
      <c r="Y89" t="s">
        <v>1793</v>
      </c>
      <c r="Z89" t="s">
        <v>1794</v>
      </c>
      <c r="AA89" t="s">
        <v>1795</v>
      </c>
      <c r="AB89" t="s">
        <v>1788</v>
      </c>
      <c r="AC89" t="s">
        <v>1796</v>
      </c>
      <c r="AD89" t="s">
        <v>1783</v>
      </c>
      <c r="AE89" t="s">
        <v>1783</v>
      </c>
      <c r="AF89" t="s">
        <v>1797</v>
      </c>
      <c r="AG89" t="s">
        <v>1783</v>
      </c>
      <c r="AH89" t="s">
        <v>1798</v>
      </c>
      <c r="AI89" t="s">
        <v>1788</v>
      </c>
      <c r="AJ89" t="s">
        <v>1783</v>
      </c>
      <c r="AK89" t="s">
        <v>1783</v>
      </c>
      <c r="AL89" t="s">
        <v>1783</v>
      </c>
      <c r="AM89" t="s">
        <v>1799</v>
      </c>
      <c r="AN89" t="s">
        <v>1786</v>
      </c>
      <c r="AO89" t="s">
        <v>1800</v>
      </c>
      <c r="AP89" t="s">
        <v>1801</v>
      </c>
      <c r="AQ89" t="s">
        <v>1802</v>
      </c>
      <c r="AR89" t="s">
        <v>1783</v>
      </c>
    </row>
    <row r="90" spans="1:44" x14ac:dyDescent="0.3">
      <c r="A90" s="81" t="s">
        <v>1803</v>
      </c>
      <c r="B90" t="s">
        <v>1804</v>
      </c>
      <c r="C90" t="s">
        <v>1803</v>
      </c>
      <c r="D90" t="s">
        <v>1803</v>
      </c>
      <c r="E90" t="s">
        <v>1805</v>
      </c>
      <c r="F90" t="s">
        <v>1803</v>
      </c>
      <c r="G90" t="s">
        <v>1806</v>
      </c>
      <c r="H90" t="s">
        <v>1807</v>
      </c>
      <c r="I90" t="s">
        <v>1803</v>
      </c>
      <c r="J90" t="s">
        <v>1803</v>
      </c>
      <c r="K90" t="s">
        <v>1808</v>
      </c>
      <c r="L90" t="s">
        <v>1808</v>
      </c>
      <c r="M90" t="s">
        <v>1803</v>
      </c>
      <c r="N90" t="s">
        <v>1808</v>
      </c>
      <c r="O90" t="s">
        <v>1803</v>
      </c>
      <c r="P90" t="s">
        <v>1809</v>
      </c>
      <c r="Q90" t="s">
        <v>1803</v>
      </c>
      <c r="R90" t="s">
        <v>1810</v>
      </c>
      <c r="S90" t="s">
        <v>1803</v>
      </c>
      <c r="T90" t="s">
        <v>1811</v>
      </c>
      <c r="U90" t="s">
        <v>1803</v>
      </c>
      <c r="V90" t="s">
        <v>1803</v>
      </c>
      <c r="W90" t="s">
        <v>1803</v>
      </c>
      <c r="X90" t="s">
        <v>1812</v>
      </c>
      <c r="Y90" t="s">
        <v>1813</v>
      </c>
      <c r="Z90" t="s">
        <v>1814</v>
      </c>
      <c r="AA90" t="s">
        <v>1815</v>
      </c>
      <c r="AB90" t="s">
        <v>1808</v>
      </c>
      <c r="AC90" t="s">
        <v>1816</v>
      </c>
      <c r="AD90" t="s">
        <v>1803</v>
      </c>
      <c r="AE90" t="s">
        <v>1803</v>
      </c>
      <c r="AF90" t="s">
        <v>1817</v>
      </c>
      <c r="AG90" t="s">
        <v>1803</v>
      </c>
      <c r="AH90" t="s">
        <v>1818</v>
      </c>
      <c r="AI90" t="s">
        <v>1808</v>
      </c>
      <c r="AJ90" t="s">
        <v>1803</v>
      </c>
      <c r="AK90" t="s">
        <v>1803</v>
      </c>
      <c r="AL90" t="s">
        <v>1803</v>
      </c>
      <c r="AM90" t="s">
        <v>1819</v>
      </c>
      <c r="AN90" t="s">
        <v>1806</v>
      </c>
      <c r="AO90" t="s">
        <v>1820</v>
      </c>
      <c r="AP90" t="s">
        <v>1821</v>
      </c>
      <c r="AQ90" t="s">
        <v>1822</v>
      </c>
      <c r="AR90" t="s">
        <v>1803</v>
      </c>
    </row>
    <row r="91" spans="1:44" x14ac:dyDescent="0.3">
      <c r="A91" s="81" t="s">
        <v>1823</v>
      </c>
      <c r="B91" t="s">
        <v>1824</v>
      </c>
      <c r="C91" t="s">
        <v>1823</v>
      </c>
      <c r="D91" t="s">
        <v>1823</v>
      </c>
      <c r="E91" t="s">
        <v>1825</v>
      </c>
      <c r="F91" t="s">
        <v>1823</v>
      </c>
      <c r="G91" t="s">
        <v>1826</v>
      </c>
      <c r="H91" t="s">
        <v>1827</v>
      </c>
      <c r="I91" t="s">
        <v>1823</v>
      </c>
      <c r="J91" t="s">
        <v>1823</v>
      </c>
      <c r="K91" t="s">
        <v>1828</v>
      </c>
      <c r="L91" t="s">
        <v>1828</v>
      </c>
      <c r="M91" t="s">
        <v>1823</v>
      </c>
      <c r="N91" t="s">
        <v>1828</v>
      </c>
      <c r="O91" t="s">
        <v>1823</v>
      </c>
      <c r="P91" t="s">
        <v>1829</v>
      </c>
      <c r="Q91" t="s">
        <v>1823</v>
      </c>
      <c r="R91" t="s">
        <v>1830</v>
      </c>
      <c r="S91" t="s">
        <v>1823</v>
      </c>
      <c r="T91" t="s">
        <v>1831</v>
      </c>
      <c r="U91" t="s">
        <v>1823</v>
      </c>
      <c r="V91" t="s">
        <v>1823</v>
      </c>
      <c r="W91" t="s">
        <v>1823</v>
      </c>
      <c r="X91" t="s">
        <v>1832</v>
      </c>
      <c r="Y91" t="s">
        <v>1833</v>
      </c>
      <c r="Z91" t="s">
        <v>1834</v>
      </c>
      <c r="AA91" t="s">
        <v>1835</v>
      </c>
      <c r="AB91" t="s">
        <v>1828</v>
      </c>
      <c r="AC91" t="s">
        <v>1836</v>
      </c>
      <c r="AD91" t="s">
        <v>1823</v>
      </c>
      <c r="AE91" t="s">
        <v>1823</v>
      </c>
      <c r="AF91" t="s">
        <v>1837</v>
      </c>
      <c r="AG91" t="s">
        <v>1823</v>
      </c>
      <c r="AH91" t="s">
        <v>1838</v>
      </c>
      <c r="AI91" t="s">
        <v>1828</v>
      </c>
      <c r="AJ91" t="s">
        <v>1823</v>
      </c>
      <c r="AK91" t="s">
        <v>1823</v>
      </c>
      <c r="AL91" t="s">
        <v>1823</v>
      </c>
      <c r="AM91" t="s">
        <v>1839</v>
      </c>
      <c r="AN91" t="s">
        <v>1826</v>
      </c>
      <c r="AO91" t="s">
        <v>1840</v>
      </c>
      <c r="AP91" t="s">
        <v>1841</v>
      </c>
      <c r="AQ91" t="s">
        <v>1842</v>
      </c>
      <c r="AR91" t="s">
        <v>1823</v>
      </c>
    </row>
    <row r="92" spans="1:44" x14ac:dyDescent="0.3">
      <c r="A92" s="81" t="s">
        <v>1843</v>
      </c>
      <c r="B92" t="s">
        <v>1844</v>
      </c>
      <c r="C92" t="s">
        <v>1843</v>
      </c>
      <c r="D92" t="s">
        <v>1843</v>
      </c>
      <c r="E92" t="s">
        <v>1845</v>
      </c>
      <c r="F92" t="s">
        <v>1843</v>
      </c>
      <c r="G92" t="s">
        <v>1846</v>
      </c>
      <c r="H92" t="s">
        <v>1847</v>
      </c>
      <c r="I92" t="s">
        <v>1843</v>
      </c>
      <c r="J92" t="s">
        <v>1843</v>
      </c>
      <c r="K92" t="s">
        <v>1848</v>
      </c>
      <c r="L92" t="s">
        <v>1848</v>
      </c>
      <c r="M92" t="s">
        <v>1843</v>
      </c>
      <c r="N92" t="s">
        <v>1848</v>
      </c>
      <c r="O92" t="s">
        <v>1843</v>
      </c>
      <c r="P92" t="s">
        <v>1849</v>
      </c>
      <c r="Q92" t="s">
        <v>1843</v>
      </c>
      <c r="R92" t="s">
        <v>1850</v>
      </c>
      <c r="S92" t="s">
        <v>1843</v>
      </c>
      <c r="T92" t="s">
        <v>1851</v>
      </c>
      <c r="U92" t="s">
        <v>1843</v>
      </c>
      <c r="V92" t="s">
        <v>1843</v>
      </c>
      <c r="W92" t="s">
        <v>1843</v>
      </c>
      <c r="X92" t="s">
        <v>1852</v>
      </c>
      <c r="Y92" t="s">
        <v>1853</v>
      </c>
      <c r="Z92" t="s">
        <v>1854</v>
      </c>
      <c r="AA92" t="s">
        <v>1855</v>
      </c>
      <c r="AB92" t="s">
        <v>1848</v>
      </c>
      <c r="AC92" t="s">
        <v>1856</v>
      </c>
      <c r="AD92" t="s">
        <v>1843</v>
      </c>
      <c r="AE92" t="s">
        <v>1843</v>
      </c>
      <c r="AF92" t="s">
        <v>1857</v>
      </c>
      <c r="AG92" t="s">
        <v>1843</v>
      </c>
      <c r="AH92" t="s">
        <v>1858</v>
      </c>
      <c r="AI92" t="s">
        <v>1848</v>
      </c>
      <c r="AJ92" t="s">
        <v>1843</v>
      </c>
      <c r="AK92" t="s">
        <v>1843</v>
      </c>
      <c r="AL92" t="s">
        <v>1843</v>
      </c>
      <c r="AM92" t="s">
        <v>1859</v>
      </c>
      <c r="AN92" t="s">
        <v>1846</v>
      </c>
      <c r="AO92" t="s">
        <v>1860</v>
      </c>
      <c r="AP92" t="s">
        <v>1861</v>
      </c>
      <c r="AQ92" t="s">
        <v>1862</v>
      </c>
      <c r="AR92" t="s">
        <v>1843</v>
      </c>
    </row>
    <row r="93" spans="1:44" x14ac:dyDescent="0.3">
      <c r="A93" s="81" t="s">
        <v>1863</v>
      </c>
      <c r="B93" t="s">
        <v>1864</v>
      </c>
      <c r="C93" t="s">
        <v>1863</v>
      </c>
      <c r="D93" t="s">
        <v>1863</v>
      </c>
      <c r="E93" t="s">
        <v>1865</v>
      </c>
      <c r="F93" t="s">
        <v>1863</v>
      </c>
      <c r="G93" t="s">
        <v>1866</v>
      </c>
      <c r="H93" t="s">
        <v>1867</v>
      </c>
      <c r="I93" t="s">
        <v>1863</v>
      </c>
      <c r="J93" t="s">
        <v>1863</v>
      </c>
      <c r="K93" t="s">
        <v>1868</v>
      </c>
      <c r="L93" t="s">
        <v>1868</v>
      </c>
      <c r="M93" t="s">
        <v>1863</v>
      </c>
      <c r="N93" t="s">
        <v>1868</v>
      </c>
      <c r="O93" t="s">
        <v>1863</v>
      </c>
      <c r="P93" t="s">
        <v>1869</v>
      </c>
      <c r="Q93" t="s">
        <v>1863</v>
      </c>
      <c r="R93" t="s">
        <v>1870</v>
      </c>
      <c r="S93" t="s">
        <v>1863</v>
      </c>
      <c r="T93" t="s">
        <v>1871</v>
      </c>
      <c r="U93" t="s">
        <v>1863</v>
      </c>
      <c r="V93" t="s">
        <v>1863</v>
      </c>
      <c r="W93" t="s">
        <v>1863</v>
      </c>
      <c r="X93" t="s">
        <v>1872</v>
      </c>
      <c r="Y93" t="s">
        <v>1873</v>
      </c>
      <c r="Z93" t="s">
        <v>1874</v>
      </c>
      <c r="AA93" t="s">
        <v>1875</v>
      </c>
      <c r="AB93" t="s">
        <v>1868</v>
      </c>
      <c r="AC93" t="s">
        <v>1876</v>
      </c>
      <c r="AD93" t="s">
        <v>1863</v>
      </c>
      <c r="AE93" t="s">
        <v>1863</v>
      </c>
      <c r="AF93" t="s">
        <v>1877</v>
      </c>
      <c r="AG93" t="s">
        <v>1863</v>
      </c>
      <c r="AH93" t="s">
        <v>1878</v>
      </c>
      <c r="AI93" t="s">
        <v>1868</v>
      </c>
      <c r="AJ93" t="s">
        <v>1863</v>
      </c>
      <c r="AK93" t="s">
        <v>1863</v>
      </c>
      <c r="AL93" t="s">
        <v>1863</v>
      </c>
      <c r="AM93" t="s">
        <v>1879</v>
      </c>
      <c r="AN93" t="s">
        <v>1866</v>
      </c>
      <c r="AO93" t="s">
        <v>1880</v>
      </c>
      <c r="AP93" t="s">
        <v>1881</v>
      </c>
      <c r="AQ93" t="s">
        <v>1882</v>
      </c>
      <c r="AR93" t="s">
        <v>1863</v>
      </c>
    </row>
    <row r="94" spans="1:44" x14ac:dyDescent="0.3">
      <c r="A94" s="81" t="s">
        <v>1883</v>
      </c>
      <c r="B94" t="s">
        <v>1884</v>
      </c>
      <c r="C94" t="s">
        <v>1883</v>
      </c>
      <c r="D94" t="s">
        <v>1883</v>
      </c>
      <c r="E94" t="s">
        <v>1885</v>
      </c>
      <c r="F94" t="s">
        <v>1883</v>
      </c>
      <c r="G94" t="s">
        <v>1886</v>
      </c>
      <c r="H94" t="s">
        <v>1887</v>
      </c>
      <c r="I94" t="s">
        <v>1883</v>
      </c>
      <c r="J94" t="s">
        <v>1883</v>
      </c>
      <c r="K94" t="s">
        <v>1888</v>
      </c>
      <c r="L94" t="s">
        <v>1888</v>
      </c>
      <c r="M94" t="s">
        <v>1883</v>
      </c>
      <c r="N94" t="s">
        <v>1888</v>
      </c>
      <c r="O94" t="s">
        <v>1883</v>
      </c>
      <c r="P94" t="s">
        <v>1889</v>
      </c>
      <c r="Q94" t="s">
        <v>1883</v>
      </c>
      <c r="R94" t="s">
        <v>1890</v>
      </c>
      <c r="S94" t="s">
        <v>1883</v>
      </c>
      <c r="T94" t="s">
        <v>1891</v>
      </c>
      <c r="U94" t="s">
        <v>1883</v>
      </c>
      <c r="V94" t="s">
        <v>1883</v>
      </c>
      <c r="W94" t="s">
        <v>1883</v>
      </c>
      <c r="X94" t="s">
        <v>1892</v>
      </c>
      <c r="Y94" t="s">
        <v>1893</v>
      </c>
      <c r="Z94" t="s">
        <v>1894</v>
      </c>
      <c r="AA94" t="s">
        <v>1895</v>
      </c>
      <c r="AB94" t="s">
        <v>1888</v>
      </c>
      <c r="AC94" t="s">
        <v>1896</v>
      </c>
      <c r="AD94" t="s">
        <v>1883</v>
      </c>
      <c r="AE94" t="s">
        <v>1883</v>
      </c>
      <c r="AF94" t="s">
        <v>1897</v>
      </c>
      <c r="AG94" t="s">
        <v>1883</v>
      </c>
      <c r="AH94" t="s">
        <v>1898</v>
      </c>
      <c r="AI94" t="s">
        <v>1888</v>
      </c>
      <c r="AJ94" t="s">
        <v>1883</v>
      </c>
      <c r="AK94" t="s">
        <v>1883</v>
      </c>
      <c r="AL94" t="s">
        <v>1883</v>
      </c>
      <c r="AM94" t="s">
        <v>1899</v>
      </c>
      <c r="AN94" t="s">
        <v>1886</v>
      </c>
      <c r="AO94" t="s">
        <v>1900</v>
      </c>
      <c r="AP94" t="s">
        <v>1901</v>
      </c>
      <c r="AQ94" t="s">
        <v>1902</v>
      </c>
      <c r="AR94" t="s">
        <v>1883</v>
      </c>
    </row>
    <row r="95" spans="1:44" x14ac:dyDescent="0.3">
      <c r="A95" s="81" t="s">
        <v>1903</v>
      </c>
      <c r="B95" t="s">
        <v>1904</v>
      </c>
      <c r="C95" t="s">
        <v>1903</v>
      </c>
      <c r="D95" t="s">
        <v>1903</v>
      </c>
      <c r="E95" t="s">
        <v>1905</v>
      </c>
      <c r="F95" t="s">
        <v>1903</v>
      </c>
      <c r="G95" t="s">
        <v>1906</v>
      </c>
      <c r="H95" t="s">
        <v>1907</v>
      </c>
      <c r="I95" t="s">
        <v>1903</v>
      </c>
      <c r="J95" t="s">
        <v>1903</v>
      </c>
      <c r="K95" t="s">
        <v>1908</v>
      </c>
      <c r="L95" t="s">
        <v>1908</v>
      </c>
      <c r="M95" t="s">
        <v>1903</v>
      </c>
      <c r="N95" t="s">
        <v>1908</v>
      </c>
      <c r="O95" t="s">
        <v>1903</v>
      </c>
      <c r="P95" t="s">
        <v>1909</v>
      </c>
      <c r="Q95" t="s">
        <v>1903</v>
      </c>
      <c r="R95" t="s">
        <v>1910</v>
      </c>
      <c r="S95" t="s">
        <v>1903</v>
      </c>
      <c r="T95" t="s">
        <v>1911</v>
      </c>
      <c r="U95" t="s">
        <v>1903</v>
      </c>
      <c r="V95" t="s">
        <v>1903</v>
      </c>
      <c r="W95" t="s">
        <v>1903</v>
      </c>
      <c r="X95" t="s">
        <v>1912</v>
      </c>
      <c r="Y95" t="s">
        <v>1913</v>
      </c>
      <c r="Z95" t="s">
        <v>1914</v>
      </c>
      <c r="AA95" t="s">
        <v>1915</v>
      </c>
      <c r="AB95" t="s">
        <v>1908</v>
      </c>
      <c r="AC95" t="s">
        <v>1916</v>
      </c>
      <c r="AD95" t="s">
        <v>1903</v>
      </c>
      <c r="AE95" t="s">
        <v>1903</v>
      </c>
      <c r="AF95" t="s">
        <v>1917</v>
      </c>
      <c r="AG95" t="s">
        <v>1903</v>
      </c>
      <c r="AH95" t="s">
        <v>1918</v>
      </c>
      <c r="AI95" t="s">
        <v>1908</v>
      </c>
      <c r="AJ95" t="s">
        <v>1903</v>
      </c>
      <c r="AK95" t="s">
        <v>1903</v>
      </c>
      <c r="AL95" t="s">
        <v>1903</v>
      </c>
      <c r="AM95" t="s">
        <v>1919</v>
      </c>
      <c r="AN95" t="s">
        <v>1906</v>
      </c>
      <c r="AO95" t="s">
        <v>1920</v>
      </c>
      <c r="AP95" t="s">
        <v>1921</v>
      </c>
      <c r="AQ95" t="s">
        <v>1922</v>
      </c>
      <c r="AR95" t="s">
        <v>1903</v>
      </c>
    </row>
    <row r="96" spans="1:44" x14ac:dyDescent="0.3">
      <c r="A96" s="81" t="s">
        <v>1923</v>
      </c>
      <c r="B96" t="s">
        <v>1924</v>
      </c>
      <c r="C96" t="s">
        <v>1923</v>
      </c>
      <c r="D96" t="s">
        <v>1923</v>
      </c>
      <c r="E96" t="s">
        <v>1925</v>
      </c>
      <c r="F96" t="s">
        <v>1923</v>
      </c>
      <c r="G96" t="s">
        <v>1926</v>
      </c>
      <c r="H96" t="s">
        <v>1927</v>
      </c>
      <c r="I96" t="s">
        <v>1923</v>
      </c>
      <c r="J96" t="s">
        <v>1923</v>
      </c>
      <c r="K96" t="s">
        <v>1928</v>
      </c>
      <c r="L96" t="s">
        <v>1928</v>
      </c>
      <c r="M96" t="s">
        <v>1923</v>
      </c>
      <c r="N96" t="s">
        <v>1928</v>
      </c>
      <c r="O96" t="s">
        <v>1923</v>
      </c>
      <c r="P96" t="s">
        <v>1929</v>
      </c>
      <c r="Q96" t="s">
        <v>1923</v>
      </c>
      <c r="R96" t="s">
        <v>1930</v>
      </c>
      <c r="S96" t="s">
        <v>1923</v>
      </c>
      <c r="T96" t="s">
        <v>1931</v>
      </c>
      <c r="U96" t="s">
        <v>1923</v>
      </c>
      <c r="V96" t="s">
        <v>1923</v>
      </c>
      <c r="W96" t="s">
        <v>1923</v>
      </c>
      <c r="X96" t="s">
        <v>1932</v>
      </c>
      <c r="Y96" t="s">
        <v>1933</v>
      </c>
      <c r="Z96" t="s">
        <v>1934</v>
      </c>
      <c r="AA96" t="s">
        <v>1935</v>
      </c>
      <c r="AB96" t="s">
        <v>1928</v>
      </c>
      <c r="AC96" t="s">
        <v>1936</v>
      </c>
      <c r="AD96" t="s">
        <v>1923</v>
      </c>
      <c r="AE96" t="s">
        <v>1923</v>
      </c>
      <c r="AF96" t="s">
        <v>1937</v>
      </c>
      <c r="AG96" t="s">
        <v>1923</v>
      </c>
      <c r="AH96" t="s">
        <v>1938</v>
      </c>
      <c r="AI96" t="s">
        <v>1928</v>
      </c>
      <c r="AJ96" t="s">
        <v>1923</v>
      </c>
      <c r="AK96" t="s">
        <v>1923</v>
      </c>
      <c r="AL96" t="s">
        <v>1923</v>
      </c>
      <c r="AM96" t="s">
        <v>1939</v>
      </c>
      <c r="AN96" t="s">
        <v>1926</v>
      </c>
      <c r="AO96" t="s">
        <v>1940</v>
      </c>
      <c r="AP96" t="s">
        <v>1941</v>
      </c>
      <c r="AQ96" t="s">
        <v>1942</v>
      </c>
      <c r="AR96" t="s">
        <v>1923</v>
      </c>
    </row>
    <row r="97" spans="1:44" x14ac:dyDescent="0.3">
      <c r="A97" s="81" t="s">
        <v>1943</v>
      </c>
      <c r="B97" t="s">
        <v>1944</v>
      </c>
      <c r="C97" t="s">
        <v>1943</v>
      </c>
      <c r="D97" t="s">
        <v>1943</v>
      </c>
      <c r="E97" t="s">
        <v>1945</v>
      </c>
      <c r="F97" t="s">
        <v>1943</v>
      </c>
      <c r="G97" t="s">
        <v>1946</v>
      </c>
      <c r="H97" t="s">
        <v>1947</v>
      </c>
      <c r="I97" t="s">
        <v>1943</v>
      </c>
      <c r="J97" t="s">
        <v>1943</v>
      </c>
      <c r="K97" t="s">
        <v>1948</v>
      </c>
      <c r="L97" t="s">
        <v>1948</v>
      </c>
      <c r="M97" t="s">
        <v>1943</v>
      </c>
      <c r="N97" t="s">
        <v>1948</v>
      </c>
      <c r="O97" t="s">
        <v>1943</v>
      </c>
      <c r="P97" t="s">
        <v>1949</v>
      </c>
      <c r="Q97" t="s">
        <v>1943</v>
      </c>
      <c r="R97" t="s">
        <v>1950</v>
      </c>
      <c r="S97" t="s">
        <v>1943</v>
      </c>
      <c r="T97" t="s">
        <v>1951</v>
      </c>
      <c r="U97" t="s">
        <v>1943</v>
      </c>
      <c r="V97" t="s">
        <v>1943</v>
      </c>
      <c r="W97" t="s">
        <v>1943</v>
      </c>
      <c r="X97" t="s">
        <v>1952</v>
      </c>
      <c r="Y97" t="s">
        <v>1953</v>
      </c>
      <c r="Z97" t="s">
        <v>1954</v>
      </c>
      <c r="AA97" t="s">
        <v>1955</v>
      </c>
      <c r="AB97" t="s">
        <v>1948</v>
      </c>
      <c r="AC97" t="s">
        <v>1956</v>
      </c>
      <c r="AD97" t="s">
        <v>1943</v>
      </c>
      <c r="AE97" t="s">
        <v>1943</v>
      </c>
      <c r="AF97" t="s">
        <v>1957</v>
      </c>
      <c r="AG97" t="s">
        <v>1943</v>
      </c>
      <c r="AH97" t="s">
        <v>1958</v>
      </c>
      <c r="AI97" t="s">
        <v>1948</v>
      </c>
      <c r="AJ97" t="s">
        <v>1943</v>
      </c>
      <c r="AK97" t="s">
        <v>1943</v>
      </c>
      <c r="AL97" t="s">
        <v>1943</v>
      </c>
      <c r="AM97" t="s">
        <v>1959</v>
      </c>
      <c r="AN97" t="s">
        <v>1946</v>
      </c>
      <c r="AO97" t="s">
        <v>1960</v>
      </c>
      <c r="AP97" t="s">
        <v>1961</v>
      </c>
      <c r="AQ97" t="s">
        <v>1962</v>
      </c>
      <c r="AR97" t="s">
        <v>1943</v>
      </c>
    </row>
    <row r="98" spans="1:44" x14ac:dyDescent="0.3">
      <c r="A98" s="81" t="s">
        <v>1963</v>
      </c>
      <c r="B98" t="s">
        <v>1964</v>
      </c>
      <c r="C98" t="s">
        <v>1963</v>
      </c>
      <c r="D98" t="s">
        <v>1963</v>
      </c>
      <c r="E98" t="s">
        <v>1965</v>
      </c>
      <c r="F98" t="s">
        <v>1963</v>
      </c>
      <c r="G98" t="s">
        <v>1966</v>
      </c>
      <c r="H98" t="s">
        <v>1967</v>
      </c>
      <c r="I98" t="s">
        <v>1963</v>
      </c>
      <c r="J98" t="s">
        <v>1963</v>
      </c>
      <c r="K98" t="s">
        <v>1968</v>
      </c>
      <c r="L98" t="s">
        <v>1968</v>
      </c>
      <c r="M98" t="s">
        <v>1963</v>
      </c>
      <c r="N98" t="s">
        <v>1968</v>
      </c>
      <c r="O98" t="s">
        <v>1963</v>
      </c>
      <c r="P98" t="s">
        <v>1969</v>
      </c>
      <c r="Q98" t="s">
        <v>1963</v>
      </c>
      <c r="R98" t="s">
        <v>1970</v>
      </c>
      <c r="S98" t="s">
        <v>1963</v>
      </c>
      <c r="T98" t="s">
        <v>1971</v>
      </c>
      <c r="U98" t="s">
        <v>1963</v>
      </c>
      <c r="V98" t="s">
        <v>1963</v>
      </c>
      <c r="W98" t="s">
        <v>1963</v>
      </c>
      <c r="X98" t="s">
        <v>1972</v>
      </c>
      <c r="Y98" t="s">
        <v>1973</v>
      </c>
      <c r="Z98" t="s">
        <v>1974</v>
      </c>
      <c r="AA98" t="s">
        <v>1975</v>
      </c>
      <c r="AB98" t="s">
        <v>1968</v>
      </c>
      <c r="AC98" t="s">
        <v>1976</v>
      </c>
      <c r="AD98" t="s">
        <v>1963</v>
      </c>
      <c r="AE98" t="s">
        <v>1963</v>
      </c>
      <c r="AF98" t="s">
        <v>1977</v>
      </c>
      <c r="AG98" t="s">
        <v>1963</v>
      </c>
      <c r="AH98" t="s">
        <v>1978</v>
      </c>
      <c r="AI98" t="s">
        <v>1968</v>
      </c>
      <c r="AJ98" t="s">
        <v>1963</v>
      </c>
      <c r="AK98" t="s">
        <v>1963</v>
      </c>
      <c r="AL98" t="s">
        <v>1963</v>
      </c>
      <c r="AM98" t="s">
        <v>1979</v>
      </c>
      <c r="AN98" t="s">
        <v>1966</v>
      </c>
      <c r="AO98" t="s">
        <v>1980</v>
      </c>
      <c r="AP98" t="s">
        <v>1981</v>
      </c>
      <c r="AQ98" t="s">
        <v>1982</v>
      </c>
      <c r="AR98" t="s">
        <v>1963</v>
      </c>
    </row>
    <row r="99" spans="1:44" x14ac:dyDescent="0.3">
      <c r="A99" s="81" t="s">
        <v>1983</v>
      </c>
      <c r="B99" t="s">
        <v>1984</v>
      </c>
      <c r="C99" t="s">
        <v>1983</v>
      </c>
      <c r="D99" t="s">
        <v>1983</v>
      </c>
      <c r="E99" t="s">
        <v>1985</v>
      </c>
      <c r="F99" t="s">
        <v>1983</v>
      </c>
      <c r="G99" t="s">
        <v>1986</v>
      </c>
      <c r="H99" t="s">
        <v>1987</v>
      </c>
      <c r="I99" t="s">
        <v>1983</v>
      </c>
      <c r="J99" t="s">
        <v>1983</v>
      </c>
      <c r="K99" t="s">
        <v>1988</v>
      </c>
      <c r="L99" t="s">
        <v>1988</v>
      </c>
      <c r="M99" t="s">
        <v>1983</v>
      </c>
      <c r="N99" t="s">
        <v>1988</v>
      </c>
      <c r="O99" t="s">
        <v>1983</v>
      </c>
      <c r="P99" t="s">
        <v>1989</v>
      </c>
      <c r="Q99" t="s">
        <v>1983</v>
      </c>
      <c r="R99" t="s">
        <v>1990</v>
      </c>
      <c r="S99" t="s">
        <v>1983</v>
      </c>
      <c r="T99" t="s">
        <v>1991</v>
      </c>
      <c r="U99" t="s">
        <v>1983</v>
      </c>
      <c r="V99" t="s">
        <v>1983</v>
      </c>
      <c r="W99" t="s">
        <v>1983</v>
      </c>
      <c r="X99" t="s">
        <v>1992</v>
      </c>
      <c r="Y99" t="s">
        <v>1993</v>
      </c>
      <c r="Z99" t="s">
        <v>1994</v>
      </c>
      <c r="AA99" t="s">
        <v>1995</v>
      </c>
      <c r="AB99" t="s">
        <v>1988</v>
      </c>
      <c r="AC99" t="s">
        <v>1996</v>
      </c>
      <c r="AD99" t="s">
        <v>1983</v>
      </c>
      <c r="AE99" t="s">
        <v>1983</v>
      </c>
      <c r="AF99" t="s">
        <v>1997</v>
      </c>
      <c r="AG99" t="s">
        <v>1983</v>
      </c>
      <c r="AH99" t="s">
        <v>1998</v>
      </c>
      <c r="AI99" t="s">
        <v>1988</v>
      </c>
      <c r="AJ99" t="s">
        <v>1983</v>
      </c>
      <c r="AK99" t="s">
        <v>1983</v>
      </c>
      <c r="AL99" t="s">
        <v>1983</v>
      </c>
      <c r="AM99" t="s">
        <v>1999</v>
      </c>
      <c r="AN99" t="s">
        <v>1986</v>
      </c>
      <c r="AO99" t="s">
        <v>2000</v>
      </c>
      <c r="AP99" t="s">
        <v>2001</v>
      </c>
      <c r="AQ99" t="s">
        <v>2002</v>
      </c>
      <c r="AR99" t="s">
        <v>1983</v>
      </c>
    </row>
    <row r="100" spans="1:44" x14ac:dyDescent="0.3">
      <c r="A100" s="81" t="s">
        <v>1973</v>
      </c>
      <c r="B100" t="s">
        <v>2003</v>
      </c>
      <c r="C100" t="s">
        <v>1973</v>
      </c>
      <c r="D100" t="s">
        <v>1973</v>
      </c>
      <c r="E100" t="s">
        <v>2004</v>
      </c>
      <c r="F100" t="s">
        <v>1973</v>
      </c>
      <c r="G100" t="s">
        <v>1978</v>
      </c>
      <c r="H100" t="s">
        <v>2005</v>
      </c>
      <c r="I100" t="s">
        <v>1973</v>
      </c>
      <c r="J100" t="s">
        <v>1973</v>
      </c>
      <c r="K100" t="s">
        <v>1978</v>
      </c>
      <c r="L100" t="s">
        <v>1980</v>
      </c>
      <c r="M100" t="s">
        <v>1968</v>
      </c>
      <c r="N100" t="s">
        <v>1980</v>
      </c>
      <c r="O100" t="s">
        <v>1973</v>
      </c>
      <c r="P100" t="s">
        <v>2006</v>
      </c>
      <c r="Q100" t="s">
        <v>1973</v>
      </c>
      <c r="R100" t="s">
        <v>2007</v>
      </c>
      <c r="S100" t="s">
        <v>1973</v>
      </c>
      <c r="T100" t="s">
        <v>1968</v>
      </c>
      <c r="U100" t="s">
        <v>1973</v>
      </c>
      <c r="V100" t="s">
        <v>1973</v>
      </c>
      <c r="W100" t="s">
        <v>1973</v>
      </c>
      <c r="X100" t="s">
        <v>2008</v>
      </c>
      <c r="Y100" t="s">
        <v>1978</v>
      </c>
      <c r="Z100" t="s">
        <v>2009</v>
      </c>
      <c r="AA100" t="s">
        <v>1980</v>
      </c>
      <c r="AB100" t="s">
        <v>1980</v>
      </c>
      <c r="AC100" t="s">
        <v>2010</v>
      </c>
      <c r="AD100" t="s">
        <v>1973</v>
      </c>
      <c r="AE100" t="s">
        <v>1973</v>
      </c>
      <c r="AF100" t="s">
        <v>1978</v>
      </c>
      <c r="AG100" t="s">
        <v>1973</v>
      </c>
      <c r="AH100" t="s">
        <v>2011</v>
      </c>
      <c r="AI100" t="s">
        <v>1978</v>
      </c>
      <c r="AJ100" t="s">
        <v>1973</v>
      </c>
      <c r="AK100" t="s">
        <v>1973</v>
      </c>
      <c r="AL100" t="s">
        <v>1973</v>
      </c>
      <c r="AM100" t="s">
        <v>2012</v>
      </c>
      <c r="AN100" t="s">
        <v>2004</v>
      </c>
      <c r="AO100" t="s">
        <v>2013</v>
      </c>
      <c r="AP100" t="s">
        <v>2014</v>
      </c>
      <c r="AQ100" t="s">
        <v>2015</v>
      </c>
      <c r="AR100" t="s">
        <v>1973</v>
      </c>
    </row>
    <row r="101" spans="1:44" x14ac:dyDescent="0.3">
      <c r="A101" s="81" t="s">
        <v>1993</v>
      </c>
      <c r="B101" t="s">
        <v>2016</v>
      </c>
      <c r="C101" t="s">
        <v>1993</v>
      </c>
      <c r="D101" t="s">
        <v>1993</v>
      </c>
      <c r="E101" t="s">
        <v>2017</v>
      </c>
      <c r="F101" t="s">
        <v>1993</v>
      </c>
      <c r="G101" t="s">
        <v>1998</v>
      </c>
      <c r="H101" t="s">
        <v>2018</v>
      </c>
      <c r="I101" t="s">
        <v>1993</v>
      </c>
      <c r="J101" t="s">
        <v>1993</v>
      </c>
      <c r="K101" t="s">
        <v>1998</v>
      </c>
      <c r="L101" t="s">
        <v>2000</v>
      </c>
      <c r="M101" t="s">
        <v>1988</v>
      </c>
      <c r="N101" t="s">
        <v>2000</v>
      </c>
      <c r="O101" t="s">
        <v>1993</v>
      </c>
      <c r="P101" t="s">
        <v>2019</v>
      </c>
      <c r="Q101" t="s">
        <v>1993</v>
      </c>
      <c r="R101" t="s">
        <v>2020</v>
      </c>
      <c r="S101" t="s">
        <v>1993</v>
      </c>
      <c r="T101" t="s">
        <v>1988</v>
      </c>
      <c r="U101" t="s">
        <v>1993</v>
      </c>
      <c r="V101" t="s">
        <v>1993</v>
      </c>
      <c r="W101" t="s">
        <v>1993</v>
      </c>
      <c r="X101" t="s">
        <v>2021</v>
      </c>
      <c r="Y101" t="s">
        <v>1998</v>
      </c>
      <c r="Z101" t="s">
        <v>2022</v>
      </c>
      <c r="AA101" t="s">
        <v>2000</v>
      </c>
      <c r="AB101" t="s">
        <v>2000</v>
      </c>
      <c r="AC101" t="s">
        <v>2023</v>
      </c>
      <c r="AD101" t="s">
        <v>1993</v>
      </c>
      <c r="AE101" t="s">
        <v>1993</v>
      </c>
      <c r="AF101" t="s">
        <v>1998</v>
      </c>
      <c r="AG101" t="s">
        <v>1993</v>
      </c>
      <c r="AH101" t="s">
        <v>2024</v>
      </c>
      <c r="AI101" t="s">
        <v>1998</v>
      </c>
      <c r="AJ101" t="s">
        <v>1993</v>
      </c>
      <c r="AK101" t="s">
        <v>1993</v>
      </c>
      <c r="AL101" t="s">
        <v>1993</v>
      </c>
      <c r="AM101" t="s">
        <v>2025</v>
      </c>
      <c r="AN101" t="s">
        <v>2017</v>
      </c>
      <c r="AO101" t="s">
        <v>2026</v>
      </c>
      <c r="AP101" t="s">
        <v>2027</v>
      </c>
      <c r="AQ101" t="s">
        <v>2028</v>
      </c>
      <c r="AR101" t="s">
        <v>1993</v>
      </c>
    </row>
    <row r="102" spans="1:44" x14ac:dyDescent="0.3">
      <c r="A102" s="81" t="s">
        <v>2185</v>
      </c>
      <c r="B102" t="s">
        <v>2029</v>
      </c>
      <c r="C102" t="s">
        <v>2186</v>
      </c>
      <c r="D102" t="s">
        <v>2187</v>
      </c>
      <c r="E102" t="s">
        <v>2188</v>
      </c>
      <c r="F102" t="s">
        <v>2189</v>
      </c>
      <c r="G102" t="s">
        <v>2190</v>
      </c>
      <c r="H102" t="s">
        <v>2191</v>
      </c>
      <c r="I102" t="s">
        <v>2185</v>
      </c>
      <c r="J102" t="s">
        <v>2192</v>
      </c>
      <c r="K102" t="s">
        <v>2193</v>
      </c>
      <c r="L102" t="s">
        <v>2194</v>
      </c>
      <c r="M102" t="s">
        <v>2195</v>
      </c>
      <c r="N102" t="s">
        <v>2575</v>
      </c>
      <c r="O102" t="s">
        <v>2196</v>
      </c>
      <c r="P102" t="s">
        <v>2197</v>
      </c>
      <c r="Q102" t="s">
        <v>2198</v>
      </c>
      <c r="R102" t="s">
        <v>2199</v>
      </c>
      <c r="S102" t="s">
        <v>2200</v>
      </c>
      <c r="T102" t="s">
        <v>2030</v>
      </c>
      <c r="U102" t="s">
        <v>2201</v>
      </c>
      <c r="V102" t="s">
        <v>2202</v>
      </c>
      <c r="W102" t="s">
        <v>2203</v>
      </c>
      <c r="X102" t="s">
        <v>2204</v>
      </c>
      <c r="Y102" t="s">
        <v>2205</v>
      </c>
      <c r="Z102" t="s">
        <v>2206</v>
      </c>
      <c r="AA102" t="s">
        <v>2207</v>
      </c>
      <c r="AB102" t="s">
        <v>2208</v>
      </c>
      <c r="AC102" t="s">
        <v>2209</v>
      </c>
      <c r="AD102" t="s">
        <v>2210</v>
      </c>
      <c r="AE102" t="s">
        <v>2211</v>
      </c>
      <c r="AF102" t="s">
        <v>2212</v>
      </c>
      <c r="AG102" t="s">
        <v>2213</v>
      </c>
      <c r="AH102" t="s">
        <v>2214</v>
      </c>
      <c r="AI102" t="s">
        <v>2215</v>
      </c>
      <c r="AJ102" t="s">
        <v>2216</v>
      </c>
      <c r="AK102" t="s">
        <v>2217</v>
      </c>
      <c r="AL102" t="s">
        <v>2218</v>
      </c>
      <c r="AM102" t="s">
        <v>2219</v>
      </c>
      <c r="AN102" t="s">
        <v>2220</v>
      </c>
      <c r="AO102" t="s">
        <v>2221</v>
      </c>
      <c r="AP102" t="s">
        <v>2222</v>
      </c>
      <c r="AQ102" t="s">
        <v>2031</v>
      </c>
      <c r="AR102" t="s">
        <v>2223</v>
      </c>
    </row>
    <row r="103" spans="1:44" x14ac:dyDescent="0.3">
      <c r="A103" s="82"/>
    </row>
    <row r="104" spans="1:44" x14ac:dyDescent="0.3">
      <c r="A104" s="82"/>
    </row>
    <row r="105" spans="1:44" x14ac:dyDescent="0.3">
      <c r="A105" s="82"/>
    </row>
    <row r="106" spans="1:44" x14ac:dyDescent="0.3">
      <c r="A106" s="82"/>
    </row>
    <row r="107" spans="1:44" x14ac:dyDescent="0.3">
      <c r="A107" s="82"/>
    </row>
    <row r="108" spans="1:44" x14ac:dyDescent="0.3">
      <c r="A108" s="82"/>
    </row>
    <row r="109" spans="1:44" x14ac:dyDescent="0.3">
      <c r="A109" s="82"/>
    </row>
    <row r="110" spans="1:44" x14ac:dyDescent="0.3">
      <c r="A110" s="82"/>
    </row>
    <row r="111" spans="1:44" x14ac:dyDescent="0.3">
      <c r="A111" s="82"/>
    </row>
    <row r="112" spans="1:44" x14ac:dyDescent="0.3">
      <c r="A112" s="82"/>
    </row>
    <row r="113" spans="1:43" x14ac:dyDescent="0.3">
      <c r="A113" s="82"/>
    </row>
    <row r="114" spans="1:43" x14ac:dyDescent="0.3">
      <c r="A114" s="82"/>
    </row>
    <row r="115" spans="1:43" x14ac:dyDescent="0.3">
      <c r="A115" s="81" t="s">
        <v>2032</v>
      </c>
      <c r="B115" t="s">
        <v>2033</v>
      </c>
      <c r="C115" t="s">
        <v>2034</v>
      </c>
      <c r="D115" t="s">
        <v>2035</v>
      </c>
      <c r="E115" t="s">
        <v>2036</v>
      </c>
      <c r="F115" t="s">
        <v>2037</v>
      </c>
      <c r="G115" t="s">
        <v>2038</v>
      </c>
      <c r="H115" t="s">
        <v>2039</v>
      </c>
      <c r="I115" t="s">
        <v>2040</v>
      </c>
      <c r="J115" t="s">
        <v>2041</v>
      </c>
      <c r="K115" t="s">
        <v>2042</v>
      </c>
      <c r="L115" t="s">
        <v>2043</v>
      </c>
      <c r="M115" t="s">
        <v>2044</v>
      </c>
      <c r="N115" t="s">
        <v>2045</v>
      </c>
      <c r="O115" t="s">
        <v>2045</v>
      </c>
      <c r="P115" t="s">
        <v>2046</v>
      </c>
      <c r="Q115" t="s">
        <v>2047</v>
      </c>
      <c r="R115" t="s">
        <v>2048</v>
      </c>
      <c r="S115" t="s">
        <v>2049</v>
      </c>
      <c r="T115" t="s">
        <v>2050</v>
      </c>
      <c r="U115" t="s">
        <v>2051</v>
      </c>
      <c r="V115" t="s">
        <v>2052</v>
      </c>
      <c r="W115" t="s">
        <v>2053</v>
      </c>
      <c r="X115" t="s">
        <v>2054</v>
      </c>
      <c r="Y115" t="s">
        <v>2055</v>
      </c>
      <c r="Z115" t="s">
        <v>2056</v>
      </c>
      <c r="AA115" t="s">
        <v>2057</v>
      </c>
      <c r="AB115" t="s">
        <v>2058</v>
      </c>
      <c r="AC115" t="s">
        <v>2059</v>
      </c>
      <c r="AD115" t="s">
        <v>2060</v>
      </c>
      <c r="AE115" t="s">
        <v>2061</v>
      </c>
      <c r="AF115" t="s">
        <v>2062</v>
      </c>
      <c r="AG115" t="s">
        <v>2063</v>
      </c>
      <c r="AH115" t="s">
        <v>2064</v>
      </c>
      <c r="AI115" t="s">
        <v>2065</v>
      </c>
      <c r="AJ115" t="s">
        <v>2066</v>
      </c>
      <c r="AK115" t="s">
        <v>2067</v>
      </c>
      <c r="AL115" t="s">
        <v>2068</v>
      </c>
      <c r="AM115" t="s">
        <v>2069</v>
      </c>
      <c r="AN115" t="s">
        <v>2070</v>
      </c>
      <c r="AO115" t="s">
        <v>2071</v>
      </c>
      <c r="AP115" t="s">
        <v>2072</v>
      </c>
      <c r="AQ115" t="s">
        <v>2073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9"/>
  <sheetViews>
    <sheetView showGridLines="0" workbookViewId="0">
      <selection activeCell="C4" sqref="C4"/>
    </sheetView>
  </sheetViews>
  <sheetFormatPr defaultColWidth="9.125" defaultRowHeight="16.5" x14ac:dyDescent="0.3"/>
  <cols>
    <col min="1" max="1" width="1.125" style="11" customWidth="1"/>
    <col min="2" max="2" width="18.875" style="11" bestFit="1" customWidth="1"/>
    <col min="3" max="3" width="20.25" style="11" customWidth="1"/>
    <col min="4" max="4" width="9.125" style="11"/>
    <col min="5" max="5" width="1.125" style="11" customWidth="1"/>
    <col min="6" max="6" width="9.125" style="11"/>
    <col min="7" max="7" width="27.625" style="11" bestFit="1" customWidth="1"/>
    <col min="8" max="8" width="2.75" style="11" customWidth="1"/>
    <col min="9" max="9" width="1.125" style="11" customWidth="1"/>
    <col min="10" max="16384" width="9.125" style="11"/>
  </cols>
  <sheetData>
    <row r="1" spans="2:9" ht="7.5" customHeight="1" x14ac:dyDescent="0.3"/>
    <row r="2" spans="2:9" ht="17.25" thickBot="1" x14ac:dyDescent="0.35">
      <c r="B2" s="83" t="s">
        <v>2114</v>
      </c>
      <c r="C2" s="84"/>
      <c r="D2" s="85"/>
      <c r="F2" s="83" t="s">
        <v>2115</v>
      </c>
      <c r="G2" s="84"/>
      <c r="H2" s="85"/>
    </row>
    <row r="3" spans="2:9" ht="9" customHeight="1" x14ac:dyDescent="0.3">
      <c r="B3" s="86"/>
      <c r="C3" s="87"/>
      <c r="D3" s="88"/>
      <c r="F3" s="86"/>
      <c r="G3" s="87"/>
      <c r="H3" s="88"/>
    </row>
    <row r="4" spans="2:9" x14ac:dyDescent="0.3">
      <c r="B4" s="98" t="s">
        <v>2116</v>
      </c>
      <c r="C4" s="107" t="s">
        <v>0</v>
      </c>
      <c r="D4" s="88"/>
      <c r="F4" s="86"/>
      <c r="G4" s="89"/>
      <c r="H4" s="88"/>
    </row>
    <row r="5" spans="2:9" x14ac:dyDescent="0.3">
      <c r="B5" s="86"/>
      <c r="C5" s="87"/>
      <c r="D5" s="88"/>
      <c r="F5" s="90" t="s">
        <v>2117</v>
      </c>
      <c r="G5" s="91" t="s">
        <v>2118</v>
      </c>
      <c r="H5" s="88"/>
    </row>
    <row r="6" spans="2:9" x14ac:dyDescent="0.3">
      <c r="B6" s="98" t="s">
        <v>2119</v>
      </c>
      <c r="C6" s="107" t="s">
        <v>2183</v>
      </c>
      <c r="D6" s="88"/>
      <c r="F6" s="90" t="s">
        <v>2120</v>
      </c>
      <c r="G6" s="92" t="s">
        <v>2121</v>
      </c>
      <c r="H6" s="88"/>
    </row>
    <row r="7" spans="2:9" x14ac:dyDescent="0.3">
      <c r="B7" s="86"/>
      <c r="C7" s="87"/>
      <c r="D7" s="88"/>
      <c r="F7" s="90" t="s">
        <v>2122</v>
      </c>
      <c r="G7" s="92" t="s">
        <v>2123</v>
      </c>
      <c r="H7" s="88"/>
    </row>
    <row r="8" spans="2:9" x14ac:dyDescent="0.3">
      <c r="B8" s="98" t="s">
        <v>2124</v>
      </c>
      <c r="C8" s="107" t="s">
        <v>2125</v>
      </c>
      <c r="D8" s="88"/>
      <c r="F8" s="90" t="s">
        <v>2126</v>
      </c>
      <c r="G8" s="92" t="s">
        <v>2127</v>
      </c>
      <c r="H8" s="88"/>
    </row>
    <row r="9" spans="2:9" x14ac:dyDescent="0.3">
      <c r="B9" s="86"/>
      <c r="C9" s="87"/>
      <c r="D9" s="88"/>
      <c r="F9" s="90" t="s">
        <v>2128</v>
      </c>
      <c r="G9" s="93" t="s">
        <v>2129</v>
      </c>
      <c r="H9" s="88"/>
    </row>
    <row r="10" spans="2:9" x14ac:dyDescent="0.3">
      <c r="B10" s="98" t="s">
        <v>2130</v>
      </c>
      <c r="C10" s="107" t="s">
        <v>2131</v>
      </c>
      <c r="D10" s="88"/>
      <c r="F10" s="86"/>
      <c r="G10" s="94"/>
      <c r="H10" s="88"/>
    </row>
    <row r="11" spans="2:9" x14ac:dyDescent="0.3">
      <c r="B11" s="86"/>
      <c r="C11" s="87"/>
      <c r="D11" s="88"/>
      <c r="F11" s="95"/>
      <c r="G11" s="96"/>
      <c r="H11" s="97"/>
    </row>
    <row r="12" spans="2:9" x14ac:dyDescent="0.3">
      <c r="B12" s="98" t="s">
        <v>2184</v>
      </c>
      <c r="C12" s="107" t="s">
        <v>1151</v>
      </c>
      <c r="D12" s="88"/>
    </row>
    <row r="13" spans="2:9" ht="9" customHeight="1" x14ac:dyDescent="0.3">
      <c r="B13" s="95"/>
      <c r="C13" s="96"/>
      <c r="D13" s="97"/>
    </row>
    <row r="14" spans="2:9" ht="9" customHeight="1" x14ac:dyDescent="0.3"/>
    <row r="15" spans="2:9" ht="9" customHeight="1" x14ac:dyDescent="0.3">
      <c r="B15" s="99"/>
      <c r="C15" s="100"/>
      <c r="D15" s="101"/>
      <c r="F15" s="108" t="s">
        <v>2132</v>
      </c>
      <c r="G15" s="108">
        <f>IF(ISERROR(MATCH(C4,lang_list,0)),1,MATCH(C4,lang_list,0))</f>
        <v>1</v>
      </c>
      <c r="H15" s="108"/>
      <c r="I15" s="108" t="str">
        <f>IFERROR(VLOOKUP(C12,T,lang,FALSE),"")</f>
        <v>Argentina</v>
      </c>
    </row>
    <row r="16" spans="2:9" ht="17.25" thickBot="1" x14ac:dyDescent="0.35">
      <c r="B16" s="86"/>
      <c r="C16" s="102" t="s">
        <v>2129</v>
      </c>
      <c r="D16" s="88"/>
      <c r="F16" s="108" t="s">
        <v>2133</v>
      </c>
      <c r="G16" s="108">
        <f>TIME(VLOOKUP(C8,F18:G41,2,FALSE),VLOOKUP(C10,F43:G46,2,FALSE),0)+IF(C6="Yes",TIME(1,0,0),0)</f>
        <v>0.45833333333333331</v>
      </c>
      <c r="H16" s="108"/>
      <c r="I16" s="108"/>
    </row>
    <row r="17" spans="2:9" x14ac:dyDescent="0.3">
      <c r="B17" s="103" t="str">
        <f>VLOOKUP("Germany",T,lang,FALSE)</f>
        <v>Germany</v>
      </c>
      <c r="C17" s="104">
        <v>1602</v>
      </c>
      <c r="D17" s="88"/>
      <c r="F17" s="108"/>
      <c r="G17" s="108"/>
      <c r="H17" s="108"/>
      <c r="I17" s="108" t="s">
        <v>1151</v>
      </c>
    </row>
    <row r="18" spans="2:9" x14ac:dyDescent="0.3">
      <c r="B18" s="103" t="str">
        <f>VLOOKUP("Brazil",T,lang,FALSE)</f>
        <v>Brazil</v>
      </c>
      <c r="C18" s="105">
        <v>1483</v>
      </c>
      <c r="D18" s="88"/>
      <c r="F18" s="108" t="s">
        <v>2134</v>
      </c>
      <c r="G18" s="108">
        <v>0</v>
      </c>
      <c r="H18" s="108"/>
      <c r="I18" s="108" t="s">
        <v>1329</v>
      </c>
    </row>
    <row r="19" spans="2:9" x14ac:dyDescent="0.3">
      <c r="B19" s="103" t="str">
        <f>VLOOKUP("Portugal",T,lang,FALSE)</f>
        <v>Portugal</v>
      </c>
      <c r="C19" s="105">
        <v>1358</v>
      </c>
      <c r="D19" s="88"/>
      <c r="F19" s="108" t="s">
        <v>2135</v>
      </c>
      <c r="G19" s="108">
        <v>1</v>
      </c>
      <c r="H19" s="108"/>
      <c r="I19" s="108" t="s">
        <v>1485</v>
      </c>
    </row>
    <row r="20" spans="2:9" x14ac:dyDescent="0.3">
      <c r="B20" s="103" t="str">
        <f>VLOOKUP("Argentina",T,lang,FALSE)</f>
        <v>Argentina</v>
      </c>
      <c r="C20" s="105">
        <v>1348</v>
      </c>
      <c r="D20" s="88"/>
      <c r="F20" s="108" t="s">
        <v>2136</v>
      </c>
      <c r="G20" s="108">
        <v>2</v>
      </c>
      <c r="H20" s="108"/>
      <c r="I20" s="108" t="s">
        <v>1455</v>
      </c>
    </row>
    <row r="21" spans="2:9" x14ac:dyDescent="0.3">
      <c r="B21" s="103" t="str">
        <f>VLOOKUP("Belgium",T,lang,FALSE)</f>
        <v>Belgium</v>
      </c>
      <c r="C21" s="105">
        <v>1325</v>
      </c>
      <c r="D21" s="88"/>
      <c r="F21" s="108" t="s">
        <v>2137</v>
      </c>
      <c r="G21" s="108">
        <v>3</v>
      </c>
      <c r="H21" s="108"/>
      <c r="I21" s="108" t="s">
        <v>1359</v>
      </c>
    </row>
    <row r="22" spans="2:9" x14ac:dyDescent="0.3">
      <c r="B22" s="103" t="str">
        <f>VLOOKUP("Spain",T,lang,FALSE)</f>
        <v>Spain</v>
      </c>
      <c r="C22" s="105">
        <v>1231</v>
      </c>
      <c r="D22" s="88"/>
      <c r="F22" s="108" t="s">
        <v>2138</v>
      </c>
      <c r="G22" s="108">
        <v>4</v>
      </c>
      <c r="H22" s="108"/>
      <c r="I22" s="108" t="s">
        <v>1385</v>
      </c>
    </row>
    <row r="23" spans="2:9" x14ac:dyDescent="0.3">
      <c r="B23" s="103" t="str">
        <f>VLOOKUP("Poland",T,lang,FALSE)</f>
        <v>Poland</v>
      </c>
      <c r="C23" s="105">
        <v>1209</v>
      </c>
      <c r="D23" s="88"/>
      <c r="F23" s="108" t="s">
        <v>2139</v>
      </c>
      <c r="G23" s="108">
        <v>5</v>
      </c>
      <c r="H23" s="108"/>
      <c r="I23" s="108" t="s">
        <v>1039</v>
      </c>
    </row>
    <row r="24" spans="2:9" x14ac:dyDescent="0.3">
      <c r="B24" s="103" t="str">
        <f>VLOOKUP("Switzerland",T,lang,FALSE)</f>
        <v>Switzerland</v>
      </c>
      <c r="C24" s="105">
        <v>1190</v>
      </c>
      <c r="D24" s="88"/>
      <c r="F24" s="108" t="s">
        <v>2140</v>
      </c>
      <c r="G24" s="108">
        <v>6</v>
      </c>
      <c r="H24" s="108"/>
      <c r="I24" s="108" t="s">
        <v>2165</v>
      </c>
    </row>
    <row r="25" spans="2:9" x14ac:dyDescent="0.3">
      <c r="B25" s="103" t="str">
        <f>VLOOKUP("France",T,lang,FALSE)</f>
        <v>France</v>
      </c>
      <c r="C25" s="105">
        <v>1183</v>
      </c>
      <c r="D25" s="88"/>
      <c r="F25" s="108" t="s">
        <v>2141</v>
      </c>
      <c r="G25" s="108">
        <v>7</v>
      </c>
      <c r="H25" s="108"/>
      <c r="I25" s="108" t="s">
        <v>2162</v>
      </c>
    </row>
    <row r="26" spans="2:9" x14ac:dyDescent="0.3">
      <c r="B26" s="103" t="str">
        <f>VLOOKUP("Peru",T,lang,FALSE)</f>
        <v>Peru</v>
      </c>
      <c r="C26" s="105">
        <v>1128</v>
      </c>
      <c r="D26" s="88"/>
      <c r="F26" s="108" t="s">
        <v>2142</v>
      </c>
      <c r="G26" s="108">
        <v>8</v>
      </c>
      <c r="H26" s="108"/>
      <c r="I26" s="108" t="s">
        <v>1232</v>
      </c>
    </row>
    <row r="27" spans="2:9" x14ac:dyDescent="0.3">
      <c r="B27" s="103" t="str">
        <f>VLOOKUP("Denmark",T,lang,FALSE)</f>
        <v>Denmark</v>
      </c>
      <c r="C27" s="105">
        <v>1099</v>
      </c>
      <c r="D27" s="88"/>
      <c r="F27" s="108" t="s">
        <v>2143</v>
      </c>
      <c r="G27" s="108">
        <v>9</v>
      </c>
      <c r="H27" s="108"/>
      <c r="I27" s="108" t="s">
        <v>1120</v>
      </c>
    </row>
    <row r="28" spans="2:9" x14ac:dyDescent="0.3">
      <c r="B28" s="103" t="str">
        <f>VLOOKUP("Colombia",T,lang,FALSE)</f>
        <v>Colombia</v>
      </c>
      <c r="C28" s="105">
        <v>1078</v>
      </c>
      <c r="D28" s="88"/>
      <c r="F28" s="108" t="s">
        <v>2144</v>
      </c>
      <c r="G28" s="108">
        <v>10</v>
      </c>
      <c r="H28" s="108"/>
      <c r="I28" s="108" t="s">
        <v>1294</v>
      </c>
    </row>
    <row r="29" spans="2:9" x14ac:dyDescent="0.3">
      <c r="B29" s="103" t="str">
        <f>VLOOKUP("England",T,lang,FALSE)</f>
        <v>England</v>
      </c>
      <c r="C29" s="105">
        <v>1047</v>
      </c>
      <c r="D29" s="88"/>
      <c r="F29" s="108" t="s">
        <v>2125</v>
      </c>
      <c r="G29" s="108">
        <v>11</v>
      </c>
      <c r="H29" s="108"/>
      <c r="I29" s="108" t="s">
        <v>2166</v>
      </c>
    </row>
    <row r="30" spans="2:9" x14ac:dyDescent="0.3">
      <c r="B30" s="103" t="str">
        <f>VLOOKUP("Mexico",T,lang,FALSE)</f>
        <v>Mexico</v>
      </c>
      <c r="C30" s="105">
        <v>1032</v>
      </c>
      <c r="D30" s="88"/>
      <c r="F30" s="108" t="s">
        <v>2145</v>
      </c>
      <c r="G30" s="108">
        <v>12</v>
      </c>
      <c r="H30" s="108"/>
      <c r="I30" s="108" t="s">
        <v>1436</v>
      </c>
    </row>
    <row r="31" spans="2:9" x14ac:dyDescent="0.3">
      <c r="B31" s="103" t="str">
        <f>VLOOKUP("Croatia",T,lang,FALSE)</f>
        <v>Croatia</v>
      </c>
      <c r="C31" s="105">
        <v>1018</v>
      </c>
      <c r="D31" s="88"/>
      <c r="F31" s="108" t="s">
        <v>2146</v>
      </c>
      <c r="G31" s="108">
        <v>13</v>
      </c>
      <c r="H31" s="108"/>
      <c r="I31" s="108" t="s">
        <v>1407</v>
      </c>
    </row>
    <row r="32" spans="2:9" x14ac:dyDescent="0.3">
      <c r="B32" s="103" t="str">
        <f>VLOOKUP("Sweden",T,lang,FALSE)</f>
        <v>Sweden</v>
      </c>
      <c r="C32" s="105">
        <v>998</v>
      </c>
      <c r="D32" s="88"/>
      <c r="F32" s="108" t="s">
        <v>2147</v>
      </c>
      <c r="G32" s="108">
        <v>14</v>
      </c>
      <c r="H32" s="108"/>
      <c r="I32" s="108" t="s">
        <v>1195</v>
      </c>
    </row>
    <row r="33" spans="2:9" x14ac:dyDescent="0.3">
      <c r="B33" s="103" t="str">
        <f>VLOOKUP("Uruguay",T,lang,FALSE)</f>
        <v>Uruguay</v>
      </c>
      <c r="C33" s="105">
        <v>924</v>
      </c>
      <c r="D33" s="88"/>
      <c r="F33" s="108" t="s">
        <v>2148</v>
      </c>
      <c r="G33" s="108">
        <v>15</v>
      </c>
      <c r="H33" s="108"/>
      <c r="I33" s="108" t="s">
        <v>1075</v>
      </c>
    </row>
    <row r="34" spans="2:9" x14ac:dyDescent="0.3">
      <c r="B34" s="103" t="str">
        <f>VLOOKUP("Iceland",T,lang,FALSE)</f>
        <v>Iceland</v>
      </c>
      <c r="C34" s="105">
        <v>910</v>
      </c>
      <c r="D34" s="88"/>
      <c r="F34" s="108" t="s">
        <v>2149</v>
      </c>
      <c r="G34" s="108">
        <v>16</v>
      </c>
      <c r="H34" s="108"/>
      <c r="I34" s="108" t="s">
        <v>2163</v>
      </c>
    </row>
    <row r="35" spans="2:9" x14ac:dyDescent="0.3">
      <c r="B35" s="103" t="str">
        <f>VLOOKUP("Senegal",T,lang,FALSE)</f>
        <v>Senegal</v>
      </c>
      <c r="C35" s="105">
        <v>884</v>
      </c>
      <c r="D35" s="88"/>
      <c r="F35" s="108" t="s">
        <v>2150</v>
      </c>
      <c r="G35" s="108">
        <v>17</v>
      </c>
      <c r="H35" s="108"/>
      <c r="I35" s="108" t="s">
        <v>1172</v>
      </c>
    </row>
    <row r="36" spans="2:9" x14ac:dyDescent="0.3">
      <c r="B36" s="103" t="str">
        <f>VLOOKUP("Costa Rica",T,lang,FALSE)</f>
        <v>Costa Rica</v>
      </c>
      <c r="C36" s="105">
        <v>850</v>
      </c>
      <c r="D36" s="88"/>
      <c r="F36" s="108" t="s">
        <v>2151</v>
      </c>
      <c r="G36" s="108">
        <v>18</v>
      </c>
      <c r="H36" s="108"/>
      <c r="I36" s="108" t="s">
        <v>2169</v>
      </c>
    </row>
    <row r="37" spans="2:9" x14ac:dyDescent="0.3">
      <c r="B37" s="103" t="str">
        <f>VLOOKUP("Tunisia",T,lang,FALSE)</f>
        <v>Tunisia</v>
      </c>
      <c r="C37" s="105">
        <v>838</v>
      </c>
      <c r="D37" s="88"/>
      <c r="F37" s="108" t="s">
        <v>2152</v>
      </c>
      <c r="G37" s="108">
        <v>19</v>
      </c>
      <c r="H37" s="108"/>
      <c r="I37" s="108" t="s">
        <v>2164</v>
      </c>
    </row>
    <row r="38" spans="2:9" x14ac:dyDescent="0.3">
      <c r="B38" s="103" t="str">
        <f>VLOOKUP("Egypt",T,lang,FALSE)</f>
        <v>Egypt</v>
      </c>
      <c r="C38" s="105">
        <v>805</v>
      </c>
      <c r="D38" s="88"/>
      <c r="F38" s="108" t="s">
        <v>2153</v>
      </c>
      <c r="G38" s="108">
        <v>20</v>
      </c>
      <c r="H38" s="108"/>
      <c r="I38" s="108" t="s">
        <v>2171</v>
      </c>
    </row>
    <row r="39" spans="2:9" x14ac:dyDescent="0.3">
      <c r="B39" s="103" t="str">
        <f>VLOOKUP("Iran",T,lang,FALSE)</f>
        <v>Iran</v>
      </c>
      <c r="C39" s="105">
        <v>798</v>
      </c>
      <c r="D39" s="88"/>
      <c r="F39" s="108" t="s">
        <v>2154</v>
      </c>
      <c r="G39" s="108">
        <v>21</v>
      </c>
      <c r="H39" s="108"/>
      <c r="I39" s="108" t="s">
        <v>1514</v>
      </c>
    </row>
    <row r="40" spans="2:9" x14ac:dyDescent="0.3">
      <c r="B40" s="103" t="str">
        <f>VLOOKUP("Serbia",T,lang,FALSE)</f>
        <v>Serbia</v>
      </c>
      <c r="C40" s="105">
        <v>756</v>
      </c>
      <c r="D40" s="88"/>
      <c r="F40" s="108" t="s">
        <v>2155</v>
      </c>
      <c r="G40" s="108">
        <v>22</v>
      </c>
      <c r="H40" s="108"/>
      <c r="I40" s="108" t="s">
        <v>1263</v>
      </c>
    </row>
    <row r="41" spans="2:9" x14ac:dyDescent="0.3">
      <c r="B41" s="103" t="str">
        <f>VLOOKUP("Australia",T,lang,FALSE)</f>
        <v>Australia</v>
      </c>
      <c r="C41" s="105">
        <v>747</v>
      </c>
      <c r="D41" s="88"/>
      <c r="F41" s="108" t="s">
        <v>2156</v>
      </c>
      <c r="G41" s="108">
        <v>23</v>
      </c>
      <c r="H41" s="108"/>
      <c r="I41" s="108" t="s">
        <v>2161</v>
      </c>
    </row>
    <row r="42" spans="2:9" x14ac:dyDescent="0.3">
      <c r="B42" s="103" t="str">
        <f>VLOOKUP("Morocco",T,lang,FALSE)</f>
        <v>Morocco</v>
      </c>
      <c r="C42" s="105">
        <v>738</v>
      </c>
      <c r="D42" s="88"/>
      <c r="F42" s="108"/>
      <c r="G42" s="108"/>
      <c r="H42" s="108"/>
      <c r="I42" s="108" t="s">
        <v>2172</v>
      </c>
    </row>
    <row r="43" spans="2:9" x14ac:dyDescent="0.3">
      <c r="B43" s="103" t="str">
        <f>VLOOKUP("Nigeria",T,lang,FALSE)</f>
        <v>Nigeria</v>
      </c>
      <c r="C43" s="105">
        <v>640</v>
      </c>
      <c r="D43" s="88"/>
      <c r="F43" s="108" t="s">
        <v>2131</v>
      </c>
      <c r="G43" s="108">
        <v>0</v>
      </c>
      <c r="H43" s="108"/>
      <c r="I43" s="108" t="s">
        <v>2167</v>
      </c>
    </row>
    <row r="44" spans="2:9" x14ac:dyDescent="0.3">
      <c r="B44" s="103" t="str">
        <f>VLOOKUP("Panama",T,lang,FALSE)</f>
        <v>Panama</v>
      </c>
      <c r="C44" s="105">
        <v>621</v>
      </c>
      <c r="D44" s="88"/>
      <c r="F44" s="108" t="s">
        <v>2157</v>
      </c>
      <c r="G44" s="108">
        <v>15</v>
      </c>
      <c r="H44" s="108"/>
      <c r="I44" s="108" t="s">
        <v>1539</v>
      </c>
    </row>
    <row r="45" spans="2:9" x14ac:dyDescent="0.3">
      <c r="B45" s="103" t="str">
        <f>VLOOKUP("Japan",T,lang,FALSE)</f>
        <v>Japan</v>
      </c>
      <c r="C45" s="105">
        <v>600</v>
      </c>
      <c r="D45" s="88"/>
      <c r="F45" s="108" t="s">
        <v>2158</v>
      </c>
      <c r="G45" s="108">
        <v>30</v>
      </c>
      <c r="H45" s="108"/>
      <c r="I45" s="108" t="s">
        <v>2168</v>
      </c>
    </row>
    <row r="46" spans="2:9" x14ac:dyDescent="0.3">
      <c r="B46" s="103" t="str">
        <f>VLOOKUP("Korea Republic",T,lang,FALSE)</f>
        <v>Korea Republic</v>
      </c>
      <c r="C46" s="105">
        <v>570</v>
      </c>
      <c r="D46" s="88"/>
      <c r="F46" s="108" t="s">
        <v>2159</v>
      </c>
      <c r="G46" s="108">
        <v>45</v>
      </c>
      <c r="H46" s="108"/>
      <c r="I46" s="108" t="s">
        <v>1575</v>
      </c>
    </row>
    <row r="47" spans="2:9" x14ac:dyDescent="0.3">
      <c r="B47" s="103" t="str">
        <f>VLOOKUP("Saudi Arabia",T,lang,FALSE)</f>
        <v>Saudi Arabia</v>
      </c>
      <c r="C47" s="105">
        <v>543</v>
      </c>
      <c r="D47" s="88"/>
      <c r="F47" s="108"/>
      <c r="G47" s="108"/>
      <c r="H47" s="108"/>
      <c r="I47" s="108" t="s">
        <v>2170</v>
      </c>
    </row>
    <row r="48" spans="2:9" x14ac:dyDescent="0.3">
      <c r="B48" s="103" t="str">
        <f>VLOOKUP("Russia",T,lang,FALSE)</f>
        <v>Russia</v>
      </c>
      <c r="C48" s="106">
        <v>534</v>
      </c>
      <c r="D48" s="88"/>
      <c r="F48" s="108" t="s">
        <v>2160</v>
      </c>
      <c r="G48" s="108">
        <f>IF(G4="Type 2",0,1)</f>
        <v>1</v>
      </c>
      <c r="H48" s="108"/>
      <c r="I48" s="108" t="s">
        <v>1100</v>
      </c>
    </row>
    <row r="49" spans="2:4" x14ac:dyDescent="0.3">
      <c r="B49" s="95"/>
      <c r="C49" s="96"/>
      <c r="D49" s="97"/>
    </row>
  </sheetData>
  <sheetProtection algorithmName="SHA-512" hashValue="aQeNnt6NrHOmRRZK93Q7r1bO1qN9FbrIaAVDKc2E65Ihxzu1KQ75IflvIgQsvAfN1YYM+GMUXX3GYR2L18gqBQ==" saltValue="qez6eFTGEHMv+M4agbRG2g==" spinCount="100000" sheet="1" objects="1" scenarios="1"/>
  <sortState ref="I17:I48">
    <sortCondition ref="I17:I48"/>
  </sortState>
  <phoneticPr fontId="19" type="noConversion"/>
  <dataValidations count="5">
    <dataValidation type="list" allowBlank="1" showInputMessage="1" showErrorMessage="1" promptTitle="Select Language" prompt="Use drop-down List" sqref="C4">
      <formula1>lang_list</formula1>
    </dataValidation>
    <dataValidation type="list" allowBlank="1" showInputMessage="1" showErrorMessage="1" promptTitle="Select Summer Time" prompt="Use drop-down List" sqref="C6">
      <formula1>"Yes,No"</formula1>
    </dataValidation>
    <dataValidation type="list" allowBlank="1" showInputMessage="1" showErrorMessage="1" promptTitle="Select GTM-time" prompt="Use drop-down List" sqref="C8">
      <formula1>$F$18:$F$41</formula1>
    </dataValidation>
    <dataValidation type="list" allowBlank="1" showInputMessage="1" showErrorMessage="1" promptTitle="Select Minutes" prompt="Use drop-down List" sqref="C10">
      <formula1>$F$43:$F$46</formula1>
    </dataValidation>
    <dataValidation type="list" allowBlank="1" showInputMessage="1" showErrorMessage="1" promptTitle="Select Your Favorite Team" prompt="Use drop-down List" sqref="C12">
      <formula1>teams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T97"/>
  <sheetViews>
    <sheetView showGridLines="0" tabSelected="1" topLeftCell="A21" zoomScaleNormal="100" workbookViewId="0">
      <selection activeCell="G38" sqref="G38"/>
    </sheetView>
  </sheetViews>
  <sheetFormatPr defaultColWidth="9.125" defaultRowHeight="16.5" x14ac:dyDescent="0.3"/>
  <cols>
    <col min="1" max="1" width="4.875" style="4" customWidth="1"/>
    <col min="2" max="2" width="6.125" style="4" customWidth="1"/>
    <col min="3" max="3" width="11.75" style="4" bestFit="1" customWidth="1"/>
    <col min="4" max="4" width="7.25" style="5" customWidth="1"/>
    <col min="5" max="5" width="22.625" style="6" customWidth="1"/>
    <col min="6" max="7" width="4.25" style="7" customWidth="1"/>
    <col min="8" max="8" width="22.625" style="8" customWidth="1"/>
    <col min="9" max="9" width="3.375" style="3" customWidth="1"/>
    <col min="10" max="10" width="14" style="9" customWidth="1"/>
    <col min="11" max="14" width="5.375" style="10" customWidth="1"/>
    <col min="15" max="15" width="7.75" style="10" customWidth="1"/>
    <col min="16" max="16" width="6.75" style="10" customWidth="1"/>
    <col min="17" max="17" width="3.375" style="2" customWidth="1"/>
    <col min="18" max="18" width="15.375" style="58" hidden="1" customWidth="1"/>
    <col min="19" max="20" width="16" style="65" hidden="1" customWidth="1"/>
    <col min="21" max="21" width="5" style="59" hidden="1" customWidth="1"/>
    <col min="22" max="25" width="6.125" style="58" hidden="1" customWidth="1"/>
    <col min="26" max="26" width="4.25" style="59" hidden="1" customWidth="1"/>
    <col min="27" max="27" width="5.375" style="58" hidden="1" customWidth="1"/>
    <col min="28" max="28" width="13.375" style="59" hidden="1" customWidth="1"/>
    <col min="29" max="33" width="5.375" style="58" hidden="1" customWidth="1"/>
    <col min="34" max="36" width="6" style="58" hidden="1" customWidth="1"/>
    <col min="37" max="37" width="5.375" style="58" hidden="1" customWidth="1"/>
    <col min="38" max="38" width="6" style="58" hidden="1" customWidth="1"/>
    <col min="39" max="39" width="7.125" style="59" hidden="1" customWidth="1"/>
    <col min="40" max="40" width="10" style="59" hidden="1" customWidth="1"/>
    <col min="41" max="41" width="15.25" style="60" hidden="1" customWidth="1"/>
    <col min="42" max="42" width="4.75" style="61" hidden="1" customWidth="1"/>
    <col min="43" max="46" width="4.75" style="62" hidden="1" customWidth="1"/>
    <col min="47" max="49" width="9.125" style="63" hidden="1" customWidth="1"/>
    <col min="50" max="50" width="9.125" style="64" hidden="1" customWidth="1"/>
    <col min="51" max="51" width="3.25" style="3" customWidth="1"/>
    <col min="52" max="52" width="19.75" style="3" customWidth="1"/>
    <col min="53" max="54" width="3" style="3" customWidth="1"/>
    <col min="55" max="56" width="2" style="3" customWidth="1"/>
    <col min="57" max="57" width="3.25" style="3" customWidth="1"/>
    <col min="58" max="58" width="19.75" style="3" customWidth="1"/>
    <col min="59" max="60" width="3" style="3" customWidth="1"/>
    <col min="61" max="62" width="2" style="3" customWidth="1"/>
    <col min="63" max="63" width="3.25" style="3" customWidth="1"/>
    <col min="64" max="64" width="19.75" style="3" customWidth="1"/>
    <col min="65" max="66" width="3" style="3" customWidth="1"/>
    <col min="67" max="68" width="2" style="3" customWidth="1"/>
    <col min="69" max="69" width="3.25" style="3" customWidth="1"/>
    <col min="70" max="70" width="19.75" style="3" customWidth="1"/>
    <col min="71" max="72" width="3" style="3" customWidth="1"/>
    <col min="73" max="16384" width="9.125" style="3"/>
  </cols>
  <sheetData>
    <row r="1" spans="1:72" ht="46.5" x14ac:dyDescent="0.3">
      <c r="A1" s="136" t="str">
        <f>INDEX(T,2,lang)</f>
        <v>2018 World Cup Final Tournament Schedule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S1" s="58"/>
      <c r="T1" s="58"/>
      <c r="U1" s="58"/>
      <c r="Z1" s="58"/>
      <c r="AB1" s="58"/>
      <c r="AD1" s="59"/>
      <c r="AE1" s="59"/>
      <c r="AF1" s="60"/>
      <c r="AG1" s="61"/>
      <c r="AH1" s="62"/>
      <c r="AI1" s="62"/>
      <c r="AJ1" s="62"/>
      <c r="AK1" s="62"/>
      <c r="AL1" s="63"/>
      <c r="AM1" s="63"/>
      <c r="AN1" s="63"/>
      <c r="AO1" s="63"/>
      <c r="AP1" s="63"/>
      <c r="AQ1" s="63"/>
      <c r="AR1" s="63"/>
      <c r="AS1" s="63"/>
      <c r="AT1" s="63"/>
    </row>
    <row r="2" spans="1:72" ht="3" customHeight="1" x14ac:dyDescent="0.3">
      <c r="S2" s="58"/>
      <c r="T2" s="58"/>
      <c r="U2" s="58"/>
      <c r="Z2" s="58"/>
      <c r="AB2" s="58"/>
      <c r="AD2" s="59"/>
      <c r="AE2" s="59"/>
      <c r="AF2" s="60"/>
      <c r="AG2" s="61"/>
      <c r="AH2" s="62"/>
      <c r="AI2" s="62"/>
      <c r="AJ2" s="62"/>
      <c r="AK2" s="62"/>
      <c r="AL2" s="63"/>
      <c r="AM2" s="63"/>
      <c r="AN2" s="63"/>
      <c r="AO2" s="63"/>
      <c r="AP2" s="63"/>
      <c r="AQ2" s="63"/>
      <c r="AR2" s="63"/>
      <c r="AS2" s="63"/>
      <c r="AT2" s="63"/>
    </row>
    <row r="3" spans="1:72" ht="12.75" customHeight="1" x14ac:dyDescent="0.3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37" t="str">
        <f>"Language: " &amp; Settings!C4</f>
        <v>Language: English</v>
      </c>
      <c r="P3" s="137"/>
      <c r="S3" s="58"/>
      <c r="T3" s="58"/>
      <c r="U3" s="58"/>
      <c r="Z3" s="58"/>
      <c r="AB3" s="58"/>
      <c r="AD3" s="59"/>
      <c r="AE3" s="59"/>
      <c r="AF3" s="60"/>
      <c r="AG3" s="61"/>
      <c r="AH3" s="62"/>
      <c r="AI3" s="62"/>
      <c r="AJ3" s="62"/>
      <c r="AK3" s="62"/>
      <c r="AL3" s="63"/>
      <c r="AM3" s="63"/>
      <c r="AN3" s="63"/>
      <c r="AO3" s="63"/>
      <c r="AP3" s="63"/>
      <c r="AQ3" s="63"/>
      <c r="AR3" s="63"/>
      <c r="AS3" s="63"/>
      <c r="AT3" s="63"/>
    </row>
    <row r="4" spans="1:72" ht="3" customHeight="1" x14ac:dyDescent="0.3"/>
    <row r="5" spans="1:72" ht="15" customHeight="1" x14ac:dyDescent="0.3">
      <c r="A5" s="138" t="str">
        <f>INDEX(T,3,lang)</f>
        <v>Group Stage</v>
      </c>
      <c r="B5" s="139"/>
      <c r="C5" s="139"/>
      <c r="D5" s="139"/>
      <c r="E5" s="139"/>
      <c r="F5" s="139"/>
      <c r="G5" s="139"/>
      <c r="H5" s="140"/>
      <c r="J5" s="144" t="s">
        <v>2174</v>
      </c>
      <c r="K5" s="145"/>
      <c r="L5" s="145"/>
      <c r="M5" s="145"/>
      <c r="N5" s="145"/>
      <c r="O5" s="145"/>
      <c r="P5" s="146"/>
    </row>
    <row r="6" spans="1:72" ht="15" customHeight="1" x14ac:dyDescent="0.3">
      <c r="A6" s="141"/>
      <c r="B6" s="142"/>
      <c r="C6" s="142"/>
      <c r="D6" s="142"/>
      <c r="E6" s="142"/>
      <c r="F6" s="142"/>
      <c r="G6" s="142"/>
      <c r="H6" s="143"/>
      <c r="J6" s="147"/>
      <c r="K6" s="148"/>
      <c r="L6" s="148"/>
      <c r="M6" s="148"/>
      <c r="N6" s="148"/>
      <c r="O6" s="148"/>
      <c r="P6" s="149"/>
      <c r="R6" s="58" t="s">
        <v>2175</v>
      </c>
      <c r="V6" s="58" t="s">
        <v>2176</v>
      </c>
      <c r="W6" s="58" t="s">
        <v>2177</v>
      </c>
      <c r="AA6" s="58" t="s">
        <v>2178</v>
      </c>
      <c r="AB6" s="58" t="s">
        <v>1004</v>
      </c>
      <c r="AC6" s="58" t="s">
        <v>337</v>
      </c>
      <c r="AD6" s="58" t="s">
        <v>374</v>
      </c>
      <c r="AE6" s="58" t="s">
        <v>307</v>
      </c>
      <c r="AF6" s="58" t="s">
        <v>2176</v>
      </c>
      <c r="AG6" s="58" t="s">
        <v>2177</v>
      </c>
      <c r="AH6" s="58" t="s">
        <v>2179</v>
      </c>
      <c r="AI6" s="58" t="s">
        <v>2179</v>
      </c>
      <c r="AK6" s="58" t="s">
        <v>2180</v>
      </c>
      <c r="AL6" s="58" t="s">
        <v>353</v>
      </c>
      <c r="AM6" s="58" t="s">
        <v>2181</v>
      </c>
      <c r="AN6" s="58" t="s">
        <v>2173</v>
      </c>
      <c r="AP6" s="61" t="s">
        <v>337</v>
      </c>
      <c r="AQ6" s="62" t="s">
        <v>374</v>
      </c>
      <c r="AR6" s="62" t="s">
        <v>2176</v>
      </c>
      <c r="AS6" s="62" t="s">
        <v>2177</v>
      </c>
      <c r="AT6" s="62" t="s">
        <v>2182</v>
      </c>
      <c r="AY6" s="130" t="str">
        <f>INDEX(T,4,lang)</f>
        <v>Round of 16</v>
      </c>
      <c r="AZ6" s="131"/>
      <c r="BA6" s="131"/>
      <c r="BB6" s="132"/>
      <c r="BE6" s="130" t="str">
        <f>INDEX(T,5,lang)</f>
        <v>Quarterfinals</v>
      </c>
      <c r="BF6" s="131"/>
      <c r="BG6" s="131"/>
      <c r="BH6" s="132"/>
      <c r="BK6" s="130" t="str">
        <f>INDEX(T,6,lang)</f>
        <v>Semi-Finals</v>
      </c>
      <c r="BL6" s="131"/>
      <c r="BM6" s="131"/>
      <c r="BN6" s="132"/>
      <c r="BQ6" s="130" t="str">
        <f>INDEX(T,8,lang)</f>
        <v>Final</v>
      </c>
      <c r="BR6" s="131"/>
      <c r="BS6" s="131"/>
      <c r="BT6" s="132"/>
    </row>
    <row r="7" spans="1:72" ht="15" customHeight="1" x14ac:dyDescent="0.3">
      <c r="A7" s="12">
        <v>1</v>
      </c>
      <c r="B7" s="13" t="str">
        <f t="shared" ref="B7:B54" si="0">INDEX(T,18+INT(MOD(R7-1,7)),lang)</f>
        <v>Thu</v>
      </c>
      <c r="C7" s="14" t="str">
        <f t="shared" ref="C7:C54" si="1">INDEX(T,24+MONTH(R7),lang) &amp; " " &amp; DAY(R7) &amp; ", " &amp; YEAR(R7)</f>
        <v>Jun 14, 2018</v>
      </c>
      <c r="D7" s="15">
        <f>TIME(HOUR(R7),MINUTE(R7),0)</f>
        <v>0.625</v>
      </c>
      <c r="E7" s="57" t="str">
        <f>AB8</f>
        <v>Russia</v>
      </c>
      <c r="F7" s="16">
        <v>5</v>
      </c>
      <c r="G7" s="17">
        <v>0</v>
      </c>
      <c r="H7" s="66" t="str">
        <f>AB9</f>
        <v>Saudi Arabia</v>
      </c>
      <c r="R7" s="58">
        <f>DATE(2018,6,14)+TIME(4,0,0)+gmt_delta</f>
        <v>43265.625</v>
      </c>
      <c r="S7" s="65" t="str">
        <f t="shared" ref="S7:S54" si="2">IF(OR(F7="",G7=""),"",IF(F7&gt;G7,E7&amp;"_win",IF(F7&lt;G7,E7&amp;"_lose",E7&amp;"_draw")))</f>
        <v>Russia_win</v>
      </c>
      <c r="T7" s="65" t="str">
        <f t="shared" ref="T7:T54" si="3">IF(S7="","",IF(F7&lt;G7,H7&amp;"_win",IF(F7&gt;G7,H7&amp;"_lose",H7&amp;"_draw")))</f>
        <v>Saudi Arabia_lose</v>
      </c>
      <c r="U7" s="59">
        <f t="shared" ref="U7:U54" si="4">IF(S7="",0,IF(VLOOKUP(E7,$AB$8:$AK$53,7,FALSE)=VLOOKUP(H7,$AB$8:$AK$53,7,FALSE),1,0))</f>
        <v>0</v>
      </c>
      <c r="V7" s="58">
        <f t="shared" ref="V7:V54" si="5">U7*F7</f>
        <v>0</v>
      </c>
      <c r="W7" s="58">
        <f t="shared" ref="W7:W54" si="6">U7*G7</f>
        <v>0</v>
      </c>
      <c r="X7" s="58">
        <f t="shared" ref="X7:X54" si="7">IF(OR(E7=my_team,H7=my_team),1,0)</f>
        <v>0</v>
      </c>
      <c r="Y7" s="58">
        <f>IF(OR(F7="",G7=""),"",IF(F7&gt;G7,1,IF(F7&lt;G7,-1,0)))</f>
        <v>1</v>
      </c>
      <c r="AY7" s="133"/>
      <c r="AZ7" s="134"/>
      <c r="BA7" s="134"/>
      <c r="BB7" s="135"/>
      <c r="BE7" s="133"/>
      <c r="BF7" s="134"/>
      <c r="BG7" s="134"/>
      <c r="BH7" s="135"/>
      <c r="BK7" s="133"/>
      <c r="BL7" s="134"/>
      <c r="BM7" s="134"/>
      <c r="BN7" s="135"/>
      <c r="BQ7" s="133"/>
      <c r="BR7" s="134"/>
      <c r="BS7" s="134"/>
      <c r="BT7" s="135"/>
    </row>
    <row r="8" spans="1:72" ht="15" customHeight="1" x14ac:dyDescent="0.3">
      <c r="A8" s="18">
        <v>2</v>
      </c>
      <c r="B8" s="19" t="str">
        <f t="shared" si="0"/>
        <v>Fri</v>
      </c>
      <c r="C8" s="20" t="str">
        <f t="shared" si="1"/>
        <v>Jun 15, 2018</v>
      </c>
      <c r="D8" s="21">
        <f t="shared" ref="D8:D54" si="8">TIME(HOUR(R8),MINUTE(R8),0)</f>
        <v>0.5</v>
      </c>
      <c r="E8" s="22" t="str">
        <f>AB10</f>
        <v>Egypt</v>
      </c>
      <c r="F8" s="23">
        <v>0</v>
      </c>
      <c r="G8" s="24">
        <v>1</v>
      </c>
      <c r="H8" s="67" t="str">
        <f>AB11</f>
        <v>Uruguay</v>
      </c>
      <c r="J8" s="77" t="str">
        <f>INDEX(T,9,lang) &amp; " " &amp; "A"</f>
        <v>Group A</v>
      </c>
      <c r="K8" s="78" t="str">
        <f>INDEX(T,10,lang)</f>
        <v>PL</v>
      </c>
      <c r="L8" s="78" t="str">
        <f>INDEX(T,11,lang)</f>
        <v>W</v>
      </c>
      <c r="M8" s="78" t="str">
        <f>INDEX(T,12,lang)</f>
        <v>DRAW</v>
      </c>
      <c r="N8" s="78" t="str">
        <f>INDEX(T,13,lang)</f>
        <v>L</v>
      </c>
      <c r="O8" s="78" t="str">
        <f>INDEX(T,14,lang)</f>
        <v>GF - GA</v>
      </c>
      <c r="P8" s="79" t="str">
        <f>INDEX(T,15,lang)</f>
        <v>PNT</v>
      </c>
      <c r="R8" s="58">
        <f>DATE(2018,6,15)+TIME(1,0,0)+gmt_delta</f>
        <v>43266.5</v>
      </c>
      <c r="S8" s="65" t="str">
        <f t="shared" si="2"/>
        <v>Egypt_lose</v>
      </c>
      <c r="T8" s="65" t="str">
        <f t="shared" si="3"/>
        <v>Uruguay_win</v>
      </c>
      <c r="U8" s="59">
        <f t="shared" si="4"/>
        <v>0</v>
      </c>
      <c r="V8" s="58">
        <f t="shared" si="5"/>
        <v>0</v>
      </c>
      <c r="W8" s="58">
        <f t="shared" si="6"/>
        <v>0</v>
      </c>
      <c r="X8" s="58">
        <f t="shared" si="7"/>
        <v>0</v>
      </c>
      <c r="Y8" s="58">
        <f t="shared" ref="Y8:Y54" si="9">IF(OR(F8="",G8=""),"",IF(F8&gt;G8,1,IF(F8&lt;G8,-1,0)))</f>
        <v>-1</v>
      </c>
      <c r="AA8" s="58">
        <f>COUNTIF(AN8:AN11,CONCATENATE("&gt;=",AN8))</f>
        <v>1</v>
      </c>
      <c r="AB8" s="59" t="str">
        <f>VLOOKUP("Russia",T,lang,FALSE)</f>
        <v>Russia</v>
      </c>
      <c r="AC8" s="58">
        <f>COUNTIF($S$7:$T$54,"=" &amp; AB8 &amp; "_win")</f>
        <v>2</v>
      </c>
      <c r="AD8" s="58">
        <f>COUNTIF($S$7:$T$54,"=" &amp; AB8 &amp; "_draw")</f>
        <v>0</v>
      </c>
      <c r="AE8" s="58">
        <f>COUNTIF($S$7:$T$54,"=" &amp; AB8 &amp; "_lose")</f>
        <v>0</v>
      </c>
      <c r="AF8" s="58">
        <f>SUMIF($E$7:$E$54,$AB8,$F$7:$F$54) + SUMIF($H$7:$H$54,$AB8,$G$7:$G$54)</f>
        <v>8</v>
      </c>
      <c r="AG8" s="58">
        <f>SUMIF($E$7:$E$54,$AB8,$G$7:$G$54) + SUMIF($H$7:$H$54,$AB8,$F$7:$F$54)</f>
        <v>1</v>
      </c>
      <c r="AH8" s="58">
        <f>(AF8-AG8)+1</f>
        <v>8</v>
      </c>
      <c r="AI8" s="58">
        <f>AF8-AG8</f>
        <v>7</v>
      </c>
      <c r="AJ8" s="58">
        <f>(AI8-AI13)/AI12</f>
        <v>0.9285714285714286</v>
      </c>
      <c r="AK8" s="58">
        <f>AC8*3+AD8</f>
        <v>6</v>
      </c>
      <c r="AL8" s="58">
        <f>AP8/AP12*1000+AQ8/AQ12*100+AT8/AT12*10+AR8/AR12</f>
        <v>0</v>
      </c>
      <c r="AM8" s="58">
        <f>VLOOKUP(AB8,db_fifarank,2,FALSE)/2000000</f>
        <v>2.6699999999999998E-4</v>
      </c>
      <c r="AN8" s="59">
        <f>1000*AK8/AK12+100*AJ8+10*AF8/AF12+1*AL8/AL12+AM8</f>
        <v>958.88915588888892</v>
      </c>
      <c r="AO8" s="60" t="str">
        <f>IF(SUM(AC8:AE11)=12,J9,INDEX(T,70,lang))</f>
        <v>1A</v>
      </c>
      <c r="AP8" s="61">
        <f>SUMPRODUCT(($S$7:$S$54=AB8&amp;"_win")*($U$7:$U$54))+SUMPRODUCT(($T$7:$T$54=AB8&amp;"_win")*($U$7:$U$54))</f>
        <v>0</v>
      </c>
      <c r="AQ8" s="62">
        <f>SUMPRODUCT(($S$7:$S$54=AB8&amp;"_draw")*($U$7:$U$54))+SUMPRODUCT(($T$7:$T$54=AB8&amp;"_draw")*($U$7:$U$54))</f>
        <v>0</v>
      </c>
      <c r="AR8" s="62">
        <f>SUMPRODUCT(($E$7:$E$54=AB8)*($U$7:$U$54)*($F$7:$F$54))+SUMPRODUCT(($H$7:$H$54=AB8)*($U$7:$U$54)*($G$7:$G$54))</f>
        <v>0</v>
      </c>
      <c r="AS8" s="62">
        <f>SUMPRODUCT(($E$7:$E$54=AB8)*($U$7:$U$54)*($G$7:$G$54))+SUMPRODUCT(($H$7:$H$54=AB8)*($U$7:$U$54)*($F$7:$F$54))</f>
        <v>0</v>
      </c>
      <c r="AT8" s="62">
        <f>AR8-AS8</f>
        <v>0</v>
      </c>
      <c r="BF8" s="25"/>
      <c r="BG8" s="25"/>
      <c r="BL8" s="25"/>
      <c r="BM8" s="25"/>
      <c r="BN8" s="25"/>
      <c r="BO8" s="25"/>
      <c r="BP8" s="25"/>
      <c r="BQ8" s="25"/>
      <c r="BR8" s="25"/>
      <c r="BS8" s="25"/>
      <c r="BT8" s="25"/>
    </row>
    <row r="9" spans="1:72" ht="15" customHeight="1" x14ac:dyDescent="0.3">
      <c r="A9" s="18">
        <v>3</v>
      </c>
      <c r="B9" s="19" t="str">
        <f t="shared" si="0"/>
        <v>Fri</v>
      </c>
      <c r="C9" s="20" t="str">
        <f t="shared" si="1"/>
        <v>Jun 15, 2018</v>
      </c>
      <c r="D9" s="21">
        <f t="shared" si="8"/>
        <v>0.75</v>
      </c>
      <c r="E9" s="22" t="str">
        <f>AB14</f>
        <v>Portugal</v>
      </c>
      <c r="F9" s="23">
        <v>3</v>
      </c>
      <c r="G9" s="24">
        <v>3</v>
      </c>
      <c r="H9" s="67" t="str">
        <f>AB15</f>
        <v>Spain</v>
      </c>
      <c r="J9" s="69" t="str">
        <f>VLOOKUP(1,AA8:AK11,2,FALSE)</f>
        <v>Russia</v>
      </c>
      <c r="K9" s="70">
        <f>L9+M9+N9</f>
        <v>2</v>
      </c>
      <c r="L9" s="70">
        <f>VLOOKUP(1,AA8:AK11,3,FALSE)</f>
        <v>2</v>
      </c>
      <c r="M9" s="70">
        <f>VLOOKUP(1,AA8:AK11,4,FALSE)</f>
        <v>0</v>
      </c>
      <c r="N9" s="70">
        <f>VLOOKUP(1,AA8:AK11,5,FALSE)</f>
        <v>0</v>
      </c>
      <c r="O9" s="70" t="str">
        <f>VLOOKUP(1,AA8:AK11,6,FALSE) &amp; " - " &amp; VLOOKUP(1,AA8:AK11,7,FALSE)</f>
        <v>8 - 1</v>
      </c>
      <c r="P9" s="71">
        <f>L9*3+M9</f>
        <v>6</v>
      </c>
      <c r="R9" s="58">
        <f>DATE(2018,6,15)+TIME(7,0,0)+gmt_delta</f>
        <v>43266.75</v>
      </c>
      <c r="S9" s="65" t="str">
        <f t="shared" si="2"/>
        <v>Portugal_draw</v>
      </c>
      <c r="T9" s="65" t="str">
        <f t="shared" si="3"/>
        <v>Spain_draw</v>
      </c>
      <c r="U9" s="59">
        <f t="shared" si="4"/>
        <v>1</v>
      </c>
      <c r="V9" s="58">
        <f t="shared" si="5"/>
        <v>3</v>
      </c>
      <c r="W9" s="58">
        <f t="shared" si="6"/>
        <v>3</v>
      </c>
      <c r="X9" s="58">
        <f t="shared" si="7"/>
        <v>0</v>
      </c>
      <c r="Y9" s="58">
        <f t="shared" si="9"/>
        <v>0</v>
      </c>
      <c r="AA9" s="58">
        <f>COUNTIF(AN8:AN11,CONCATENATE("&gt;=",AN9))</f>
        <v>4</v>
      </c>
      <c r="AB9" s="59" t="str">
        <f>VLOOKUP("Saudi Arabia",T,lang,FALSE)</f>
        <v>Saudi Arabia</v>
      </c>
      <c r="AC9" s="58">
        <f>COUNTIF($S$7:$T$54,"=" &amp; AB9 &amp; "_win")</f>
        <v>0</v>
      </c>
      <c r="AD9" s="58">
        <f>COUNTIF($S$7:$T$54,"=" &amp; AB9 &amp; "_draw")</f>
        <v>0</v>
      </c>
      <c r="AE9" s="58">
        <f>COUNTIF($S$7:$T$54,"=" &amp; AB9 &amp; "_lose")</f>
        <v>2</v>
      </c>
      <c r="AF9" s="58">
        <f>SUMIF($E$7:$E$54,$AB9,$F$7:$F$54) + SUMIF($H$7:$H$54,$AB9,$G$7:$G$54)</f>
        <v>0</v>
      </c>
      <c r="AG9" s="58">
        <f>SUMIF($E$7:$E$54,$AB9,$G$7:$G$54) + SUMIF($H$7:$H$54,$AB9,$F$7:$F$54)</f>
        <v>6</v>
      </c>
      <c r="AH9" s="58">
        <f>(AF9-AG9)+1</f>
        <v>-5</v>
      </c>
      <c r="AI9" s="58">
        <f>AF9-AG9</f>
        <v>-6</v>
      </c>
      <c r="AJ9" s="58">
        <f>(AI9-AI13)/AI12</f>
        <v>0</v>
      </c>
      <c r="AK9" s="58">
        <f>AC9*3+AD9</f>
        <v>0</v>
      </c>
      <c r="AL9" s="58">
        <f>AP9/AP12*1000+AQ9/AQ12*100+AT9/AT12*10+AR9/AR12</f>
        <v>0</v>
      </c>
      <c r="AM9" s="58">
        <f>VLOOKUP(AB9,db_fifarank,2,FALSE)/2000000</f>
        <v>2.7149999999999999E-4</v>
      </c>
      <c r="AN9" s="59">
        <f>1000*AK9/AK12+100*AJ9+10*AF9/AF12+1*AL9/AL12+AM9</f>
        <v>2.7149999999999999E-4</v>
      </c>
      <c r="AO9" s="60" t="str">
        <f>IF(SUM(AC8:AE11)=12,J10,INDEX(T,71,lang))</f>
        <v>2A</v>
      </c>
      <c r="AP9" s="61">
        <f>SUMPRODUCT(($S$7:$S$54=AB9&amp;"_win")*($U$7:$U$54))+SUMPRODUCT(($T$7:$T$54=AB9&amp;"_win")*($U$7:$U$54))</f>
        <v>0</v>
      </c>
      <c r="AQ9" s="62">
        <f>SUMPRODUCT(($S$7:$S$54=AB9&amp;"_draw")*($U$7:$U$54))+SUMPRODUCT(($T$7:$T$54=AB9&amp;"_draw")*($U$7:$U$54))</f>
        <v>0</v>
      </c>
      <c r="AR9" s="62">
        <f>SUMPRODUCT(($E$7:$E$54=AB9)*($U$7:$U$54)*($F$7:$F$54))+SUMPRODUCT(($H$7:$H$54=AB9)*($U$7:$U$54)*($G$7:$G$54))</f>
        <v>0</v>
      </c>
      <c r="AS9" s="62">
        <f>SUMPRODUCT(($E$7:$E$54=AB9)*($U$7:$U$54)*($G$7:$G$54))+SUMPRODUCT(($H$7:$H$54=AB9)*($U$7:$U$54)*($F$7:$F$54))</f>
        <v>0</v>
      </c>
      <c r="AT9" s="62">
        <f>AR9-AS9</f>
        <v>0</v>
      </c>
      <c r="AY9" s="25" t="str">
        <f>INDEX(T,24+MONTH(R58),lang) &amp; " " &amp; DAY(R58) &amp; ", " &amp; YEAR(R58) &amp; "   " &amp; (IF(HOUR(R58)&lt;10,0,"")&amp;HOUR(R58)) &amp; ":" &amp;  (IF(MINUTE(R58)&lt;10,0,"")&amp;MINUTE(R58))</f>
        <v>Jun 30, 2018   18:00</v>
      </c>
      <c r="AZ9" s="25"/>
      <c r="BA9" s="25"/>
      <c r="BB9" s="26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</row>
    <row r="10" spans="1:72" ht="15" customHeight="1" x14ac:dyDescent="0.3">
      <c r="A10" s="18">
        <v>4</v>
      </c>
      <c r="B10" s="19" t="str">
        <f t="shared" si="0"/>
        <v>Fri</v>
      </c>
      <c r="C10" s="20" t="str">
        <f t="shared" si="1"/>
        <v>Jun 15, 2018</v>
      </c>
      <c r="D10" s="21">
        <f t="shared" si="8"/>
        <v>0.625</v>
      </c>
      <c r="E10" s="22" t="str">
        <f>AB16</f>
        <v>Morocco</v>
      </c>
      <c r="F10" s="23">
        <v>0</v>
      </c>
      <c r="G10" s="24">
        <v>1</v>
      </c>
      <c r="H10" s="67" t="str">
        <f>AB17</f>
        <v>Iran</v>
      </c>
      <c r="J10" s="72" t="str">
        <f>VLOOKUP(2,AA8:AK11,2,FALSE)</f>
        <v>Uruguay</v>
      </c>
      <c r="K10" s="27">
        <f>L10+M10+N10</f>
        <v>2</v>
      </c>
      <c r="L10" s="27">
        <f>VLOOKUP(2,AA8:AK11,3,FALSE)</f>
        <v>2</v>
      </c>
      <c r="M10" s="27">
        <f>VLOOKUP(2,AA8:AK11,4,FALSE)</f>
        <v>0</v>
      </c>
      <c r="N10" s="27">
        <f>VLOOKUP(2,AA8:AK11,5,FALSE)</f>
        <v>0</v>
      </c>
      <c r="O10" s="27" t="str">
        <f>VLOOKUP(2,AA8:AK11,6,FALSE) &amp; " - " &amp; VLOOKUP(2,AA8:AK11,7,FALSE)</f>
        <v>2 - 0</v>
      </c>
      <c r="P10" s="73">
        <f>L10*3+M10</f>
        <v>6</v>
      </c>
      <c r="R10" s="58">
        <f>DATE(2018,6,15)+TIME(4,0,0)+gmt_delta</f>
        <v>43266.625</v>
      </c>
      <c r="S10" s="65" t="str">
        <f t="shared" si="2"/>
        <v>Morocco_lose</v>
      </c>
      <c r="T10" s="65" t="str">
        <f t="shared" si="3"/>
        <v>Iran_win</v>
      </c>
      <c r="U10" s="59">
        <f t="shared" si="4"/>
        <v>0</v>
      </c>
      <c r="V10" s="58">
        <f t="shared" si="5"/>
        <v>0</v>
      </c>
      <c r="W10" s="58">
        <f t="shared" si="6"/>
        <v>0</v>
      </c>
      <c r="X10" s="58">
        <f t="shared" si="7"/>
        <v>0</v>
      </c>
      <c r="Y10" s="58">
        <f t="shared" si="9"/>
        <v>-1</v>
      </c>
      <c r="AA10" s="58">
        <f>COUNTIF(AN8:AN11,CONCATENATE("&gt;=",AN10))</f>
        <v>3</v>
      </c>
      <c r="AB10" s="59" t="str">
        <f>VLOOKUP("Egypt",T,lang,FALSE)</f>
        <v>Egypt</v>
      </c>
      <c r="AC10" s="58">
        <f>COUNTIF($S$7:$T$54,"=" &amp; AB10 &amp; "_win")</f>
        <v>0</v>
      </c>
      <c r="AD10" s="58">
        <f>COUNTIF($S$7:$T$54,"=" &amp; AB10 &amp; "_draw")</f>
        <v>0</v>
      </c>
      <c r="AE10" s="58">
        <f>COUNTIF($S$7:$T$54,"=" &amp; AB10 &amp; "_lose")</f>
        <v>2</v>
      </c>
      <c r="AF10" s="58">
        <f>SUMIF($E$7:$E$54,$AB10,$F$7:$F$54) + SUMIF($H$7:$H$54,$AB10,$G$7:$G$54)</f>
        <v>1</v>
      </c>
      <c r="AG10" s="58">
        <f>SUMIF($E$7:$E$54,$AB10,$G$7:$G$54) + SUMIF($H$7:$H$54,$AB10,$F$7:$F$54)</f>
        <v>4</v>
      </c>
      <c r="AH10" s="58">
        <f>(AF10-AG10)+1</f>
        <v>-2</v>
      </c>
      <c r="AI10" s="58">
        <f>AF10-AG10</f>
        <v>-3</v>
      </c>
      <c r="AJ10" s="58">
        <f>(AI10-AI13)/AI12</f>
        <v>0.21428571428571427</v>
      </c>
      <c r="AK10" s="58">
        <f>AC10*3+AD10</f>
        <v>0</v>
      </c>
      <c r="AL10" s="58">
        <f>AP10/AP12*1000+AQ10/AQ12*100+AT10/AT12*10+AR10/AR12</f>
        <v>0</v>
      </c>
      <c r="AM10" s="58">
        <f>VLOOKUP(AB10,db_fifarank,2,FALSE)/2000000</f>
        <v>4.0250000000000003E-4</v>
      </c>
      <c r="AN10" s="59">
        <f>1000*AK10/AK12+100*AJ10+10*AF10/AF12+1*AL10/AL12+AM10</f>
        <v>22.540085039682538</v>
      </c>
      <c r="AP10" s="61">
        <f>SUMPRODUCT(($S$7:$S$54=AB10&amp;"_win")*($U$7:$U$54))+SUMPRODUCT(($T$7:$T$54=AB10&amp;"_win")*($U$7:$U$54))</f>
        <v>0</v>
      </c>
      <c r="AQ10" s="62">
        <f>SUMPRODUCT(($S$7:$S$54=AB10&amp;"_draw")*($U$7:$U$54))+SUMPRODUCT(($T$7:$T$54=AB10&amp;"_draw")*($U$7:$U$54))</f>
        <v>0</v>
      </c>
      <c r="AR10" s="62">
        <f>SUMPRODUCT(($E$7:$E$54=AB10)*($U$7:$U$54)*($F$7:$F$54))+SUMPRODUCT(($H$7:$H$54=AB10)*($U$7:$U$54)*($G$7:$G$54))</f>
        <v>0</v>
      </c>
      <c r="AS10" s="62">
        <f>SUMPRODUCT(($E$7:$E$54=AB10)*($U$7:$U$54)*($G$7:$G$54))+SUMPRODUCT(($H$7:$H$54=AB10)*($U$7:$U$54)*($F$7:$F$54))</f>
        <v>0</v>
      </c>
      <c r="AT10" s="62">
        <f>AR10-AS10</f>
        <v>0</v>
      </c>
      <c r="AY10" s="118">
        <v>49</v>
      </c>
      <c r="AZ10" s="28" t="str">
        <f>AO8</f>
        <v>1A</v>
      </c>
      <c r="BA10" s="29"/>
      <c r="BB10" s="30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</row>
    <row r="11" spans="1:72" ht="15" customHeight="1" x14ac:dyDescent="0.3">
      <c r="A11" s="18">
        <v>5</v>
      </c>
      <c r="B11" s="19" t="str">
        <f t="shared" si="0"/>
        <v>Sat</v>
      </c>
      <c r="C11" s="20" t="str">
        <f t="shared" si="1"/>
        <v>Jun 16, 2018</v>
      </c>
      <c r="D11" s="21">
        <f t="shared" si="8"/>
        <v>0.41666666666666669</v>
      </c>
      <c r="E11" s="22" t="str">
        <f>AB20</f>
        <v>France</v>
      </c>
      <c r="F11" s="23">
        <v>2</v>
      </c>
      <c r="G11" s="24">
        <v>1</v>
      </c>
      <c r="H11" s="67" t="str">
        <f>AB21</f>
        <v>Australia</v>
      </c>
      <c r="J11" s="72" t="str">
        <f>VLOOKUP(3,AA8:AK11,2,FALSE)</f>
        <v>Egypt</v>
      </c>
      <c r="K11" s="27">
        <f>L11+M11+N11</f>
        <v>2</v>
      </c>
      <c r="L11" s="27">
        <f>VLOOKUP(3,AA8:AK11,3,FALSE)</f>
        <v>0</v>
      </c>
      <c r="M11" s="27">
        <f>VLOOKUP(3,AA8:AK11,4,FALSE)</f>
        <v>0</v>
      </c>
      <c r="N11" s="27">
        <f>VLOOKUP(3,AA8:AK11,5,FALSE)</f>
        <v>2</v>
      </c>
      <c r="O11" s="27" t="str">
        <f>VLOOKUP(3,AA8:AK11,6,FALSE) &amp; " - " &amp; VLOOKUP(3,AA8:AK11,7,FALSE)</f>
        <v>1 - 4</v>
      </c>
      <c r="P11" s="73">
        <f>L11*3+M11</f>
        <v>0</v>
      </c>
      <c r="R11" s="58">
        <f>DATE(2018,6,15)+TIME(23,0,0)+gmt_delta</f>
        <v>43267.416666666672</v>
      </c>
      <c r="S11" s="65" t="str">
        <f t="shared" si="2"/>
        <v>France_win</v>
      </c>
      <c r="T11" s="65" t="str">
        <f t="shared" si="3"/>
        <v>Australia_lose</v>
      </c>
      <c r="U11" s="59">
        <f t="shared" si="4"/>
        <v>0</v>
      </c>
      <c r="V11" s="58">
        <f t="shared" si="5"/>
        <v>0</v>
      </c>
      <c r="W11" s="58">
        <f t="shared" si="6"/>
        <v>0</v>
      </c>
      <c r="X11" s="58">
        <f t="shared" si="7"/>
        <v>0</v>
      </c>
      <c r="Y11" s="58">
        <f t="shared" si="9"/>
        <v>1</v>
      </c>
      <c r="AA11" s="58">
        <f>COUNTIF(AN8:AN11,CONCATENATE("&gt;=",AN11))</f>
        <v>2</v>
      </c>
      <c r="AB11" s="59" t="str">
        <f>VLOOKUP("Uruguay",T,lang,FALSE)</f>
        <v>Uruguay</v>
      </c>
      <c r="AC11" s="58">
        <f>COUNTIF($S$7:$T$54,"=" &amp; AB11 &amp; "_win")</f>
        <v>2</v>
      </c>
      <c r="AD11" s="58">
        <f>COUNTIF($S$7:$T$54,"=" &amp; AB11 &amp; "_draw")</f>
        <v>0</v>
      </c>
      <c r="AE11" s="58">
        <f>COUNTIF($S$7:$T$54,"=" &amp; AB11 &amp; "_lose")</f>
        <v>0</v>
      </c>
      <c r="AF11" s="58">
        <f>SUMIF($E$7:$E$54,$AB11,$F$7:$F$54) + SUMIF($H$7:$H$54,$AB11,$G$7:$G$54)</f>
        <v>2</v>
      </c>
      <c r="AG11" s="58">
        <f>SUMIF($E$7:$E$54,$AB11,$G$7:$G$54) + SUMIF($H$7:$H$54,$AB11,$F$7:$F$54)</f>
        <v>0</v>
      </c>
      <c r="AH11" s="58">
        <f>(AF11-AG11)+1</f>
        <v>3</v>
      </c>
      <c r="AI11" s="58">
        <f>AF11-AG11</f>
        <v>2</v>
      </c>
      <c r="AJ11" s="58">
        <f>(AI11-AI13)/AI12</f>
        <v>0.5714285714285714</v>
      </c>
      <c r="AK11" s="58">
        <f>AC11*3+AD11</f>
        <v>6</v>
      </c>
      <c r="AL11" s="58">
        <f>AP11/AP12*1000+AQ11/AQ12*100+AT11/AT12*10+AR11/AR12</f>
        <v>0</v>
      </c>
      <c r="AM11" s="58">
        <f>VLOOKUP(AB11,db_fifarank,2,FALSE)/2000000</f>
        <v>4.6200000000000001E-4</v>
      </c>
      <c r="AN11" s="59">
        <f>1000*AK11/AK12+100*AJ11+10*AF11/AF12+1*AL11/AL12+AM11</f>
        <v>916.50839850793636</v>
      </c>
      <c r="AP11" s="61">
        <f>SUMPRODUCT(($S$7:$S$54=AB11&amp;"_win")*($U$7:$U$54))+SUMPRODUCT(($T$7:$T$54=AB11&amp;"_win")*($U$7:$U$54))</f>
        <v>0</v>
      </c>
      <c r="AQ11" s="62">
        <f>SUMPRODUCT(($S$7:$S$54=AB11&amp;"_draw")*($U$7:$U$54))+SUMPRODUCT(($T$7:$T$54=AB11&amp;"_draw")*($U$7:$U$54))</f>
        <v>0</v>
      </c>
      <c r="AR11" s="62">
        <f>SUMPRODUCT(($E$7:$E$54=AB11)*($U$7:$U$54)*($F$7:$F$54))+SUMPRODUCT(($H$7:$H$54=AB11)*($U$7:$U$54)*($G$7:$G$54))</f>
        <v>0</v>
      </c>
      <c r="AS11" s="62">
        <f>SUMPRODUCT(($E$7:$E$54=AB11)*($U$7:$U$54)*($G$7:$G$54))+SUMPRODUCT(($H$7:$H$54=AB11)*($U$7:$U$54)*($F$7:$F$54))</f>
        <v>0</v>
      </c>
      <c r="AT11" s="62">
        <f>AR11-AS11</f>
        <v>0</v>
      </c>
      <c r="AY11" s="119"/>
      <c r="AZ11" s="31" t="str">
        <f>AO15</f>
        <v>2B</v>
      </c>
      <c r="BA11" s="32"/>
      <c r="BB11" s="33"/>
      <c r="BC11" s="34"/>
      <c r="BD11" s="25"/>
      <c r="BE11" s="25" t="str">
        <f>INDEX(T,24+MONTH(R69),lang) &amp; " " &amp; DAY(R69) &amp; ", " &amp; YEAR(R69) &amp; "   " &amp; (IF(HOUR(R69)&lt;10,0,"")&amp;HOUR(R69)) &amp; ":" &amp;  (IF(MINUTE(R69)&lt;10,0,"")&amp;MINUTE(R69))</f>
        <v>Jul 6, 2018   14:00</v>
      </c>
      <c r="BF11" s="25"/>
      <c r="BG11" s="25"/>
      <c r="BH11" s="3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</row>
    <row r="12" spans="1:72" ht="15" customHeight="1" x14ac:dyDescent="0.3">
      <c r="A12" s="18">
        <v>6</v>
      </c>
      <c r="B12" s="19" t="str">
        <f t="shared" si="0"/>
        <v>Sat</v>
      </c>
      <c r="C12" s="20" t="str">
        <f t="shared" si="1"/>
        <v>Jun 16, 2018</v>
      </c>
      <c r="D12" s="21">
        <f t="shared" si="8"/>
        <v>0.66666666666666663</v>
      </c>
      <c r="E12" s="22" t="str">
        <f>AB22</f>
        <v>Peru</v>
      </c>
      <c r="F12" s="23">
        <v>0</v>
      </c>
      <c r="G12" s="24">
        <v>1</v>
      </c>
      <c r="H12" s="67" t="str">
        <f>AB23</f>
        <v>Denmark</v>
      </c>
      <c r="J12" s="74" t="str">
        <f>VLOOKUP(4,AA8:AK11,2,FALSE)</f>
        <v>Saudi Arabia</v>
      </c>
      <c r="K12" s="75">
        <f>L12+M12+N12</f>
        <v>2</v>
      </c>
      <c r="L12" s="75">
        <f>VLOOKUP(4,AA8:AK11,3,FALSE)</f>
        <v>0</v>
      </c>
      <c r="M12" s="75">
        <f>VLOOKUP(4,AA8:AK11,4,FALSE)</f>
        <v>0</v>
      </c>
      <c r="N12" s="75">
        <f>VLOOKUP(4,AA8:AK11,5,FALSE)</f>
        <v>2</v>
      </c>
      <c r="O12" s="75" t="str">
        <f>VLOOKUP(4,AA8:AK11,6,FALSE) &amp; " - " &amp; VLOOKUP(4,AA8:AK11,7,FALSE)</f>
        <v>0 - 6</v>
      </c>
      <c r="P12" s="76">
        <f>L12*3+M12</f>
        <v>0</v>
      </c>
      <c r="R12" s="58">
        <f>DATE(2018,6,16)+TIME(5,0,0)+gmt_delta</f>
        <v>43267.666666666672</v>
      </c>
      <c r="S12" s="65" t="str">
        <f t="shared" si="2"/>
        <v>Peru_lose</v>
      </c>
      <c r="T12" s="65" t="str">
        <f t="shared" si="3"/>
        <v>Denmark_win</v>
      </c>
      <c r="U12" s="59">
        <f t="shared" si="4"/>
        <v>0</v>
      </c>
      <c r="V12" s="58">
        <f t="shared" si="5"/>
        <v>0</v>
      </c>
      <c r="W12" s="58">
        <f t="shared" si="6"/>
        <v>0</v>
      </c>
      <c r="X12" s="58">
        <f t="shared" si="7"/>
        <v>0</v>
      </c>
      <c r="Y12" s="58">
        <f t="shared" si="9"/>
        <v>-1</v>
      </c>
      <c r="AC12" s="58">
        <f t="shared" ref="AC12:AL12" si="10">MAX(AC8:AC11)-MIN(AC8:AC11)+1</f>
        <v>3</v>
      </c>
      <c r="AD12" s="58">
        <f t="shared" si="10"/>
        <v>1</v>
      </c>
      <c r="AE12" s="58">
        <f t="shared" si="10"/>
        <v>3</v>
      </c>
      <c r="AF12" s="58">
        <f t="shared" si="10"/>
        <v>9</v>
      </c>
      <c r="AG12" s="58">
        <f t="shared" si="10"/>
        <v>7</v>
      </c>
      <c r="AH12" s="58">
        <f>MAX(AH8:AH11)-AH13+1</f>
        <v>14</v>
      </c>
      <c r="AI12" s="58">
        <f>MAX(AI8:AI11)-AI13+1</f>
        <v>14</v>
      </c>
      <c r="AK12" s="58">
        <f t="shared" si="10"/>
        <v>7</v>
      </c>
      <c r="AL12" s="58">
        <f t="shared" si="10"/>
        <v>1</v>
      </c>
      <c r="AP12" s="58">
        <f>MAX(AP8:AP11)-MIN(AP8:AP11)+1</f>
        <v>1</v>
      </c>
      <c r="AQ12" s="58">
        <f>MAX(AQ8:AQ11)-MIN(AQ8:AQ11)+1</f>
        <v>1</v>
      </c>
      <c r="AR12" s="58">
        <f>MAX(AR8:AR11)-MIN(AR8:AR11)+1</f>
        <v>1</v>
      </c>
      <c r="AS12" s="58">
        <f>MAX(AS8:AS11)-MIN(AS8:AS11)+1</f>
        <v>1</v>
      </c>
      <c r="AT12" s="58">
        <f>MAX(AT8:AT11)-MIN(AT8:AT11)+1</f>
        <v>1</v>
      </c>
      <c r="AY12" s="25"/>
      <c r="AZ12" s="25"/>
      <c r="BA12" s="25"/>
      <c r="BB12" s="25"/>
      <c r="BC12" s="36"/>
      <c r="BD12" s="25"/>
      <c r="BE12" s="118">
        <v>57</v>
      </c>
      <c r="BF12" s="28" t="str">
        <f>T58</f>
        <v>W49</v>
      </c>
      <c r="BG12" s="29"/>
      <c r="BH12" s="30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</row>
    <row r="13" spans="1:72" ht="15" customHeight="1" x14ac:dyDescent="0.3">
      <c r="A13" s="18">
        <v>7</v>
      </c>
      <c r="B13" s="19" t="str">
        <f t="shared" si="0"/>
        <v>Sat</v>
      </c>
      <c r="C13" s="20" t="str">
        <f t="shared" si="1"/>
        <v>Jun 16, 2018</v>
      </c>
      <c r="D13" s="21">
        <f t="shared" si="8"/>
        <v>0.54166666666666663</v>
      </c>
      <c r="E13" s="22" t="str">
        <f>AB26</f>
        <v>Argentina</v>
      </c>
      <c r="F13" s="23">
        <v>1</v>
      </c>
      <c r="G13" s="24">
        <v>1</v>
      </c>
      <c r="H13" s="67" t="str">
        <f>AB27</f>
        <v>Iceland</v>
      </c>
      <c r="J13" s="37"/>
      <c r="K13" s="38"/>
      <c r="L13" s="38"/>
      <c r="M13" s="38"/>
      <c r="N13" s="38"/>
      <c r="O13" s="38"/>
      <c r="P13" s="38"/>
      <c r="R13" s="58">
        <f>DATE(2018,6,16)+TIME(2,0,0)+gmt_delta</f>
        <v>43267.541666666672</v>
      </c>
      <c r="S13" s="65" t="str">
        <f t="shared" si="2"/>
        <v>Argentina_draw</v>
      </c>
      <c r="T13" s="65" t="str">
        <f t="shared" si="3"/>
        <v>Iceland_draw</v>
      </c>
      <c r="U13" s="59">
        <f t="shared" si="4"/>
        <v>0</v>
      </c>
      <c r="V13" s="58">
        <f t="shared" si="5"/>
        <v>0</v>
      </c>
      <c r="W13" s="58">
        <f t="shared" si="6"/>
        <v>0</v>
      </c>
      <c r="X13" s="58">
        <f t="shared" si="7"/>
        <v>1</v>
      </c>
      <c r="Y13" s="58">
        <f t="shared" si="9"/>
        <v>0</v>
      </c>
      <c r="AH13" s="58">
        <f>MIN(AH8:AH11)</f>
        <v>-5</v>
      </c>
      <c r="AI13" s="58">
        <f>MIN(AI8:AI11)</f>
        <v>-6</v>
      </c>
      <c r="AY13" s="25" t="str">
        <f>INDEX(T,24+MONTH(R59),lang) &amp; " " &amp; DAY(R59) &amp; ", " &amp; YEAR(R59) &amp; "   " &amp; (IF(HOUR(R59)&lt;10,0,"")&amp;HOUR(R59)) &amp; ":" &amp;  (IF(MINUTE(R59)&lt;10,0,"")&amp;MINUTE(R59))</f>
        <v>Jun 30, 2018   14:00</v>
      </c>
      <c r="AZ13" s="25"/>
      <c r="BA13" s="25"/>
      <c r="BB13" s="35"/>
      <c r="BC13" s="36"/>
      <c r="BD13" s="39"/>
      <c r="BE13" s="119"/>
      <c r="BF13" s="31" t="str">
        <f>T59</f>
        <v>W50</v>
      </c>
      <c r="BG13" s="32"/>
      <c r="BH13" s="33"/>
      <c r="BI13" s="34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</row>
    <row r="14" spans="1:72" ht="15" customHeight="1" x14ac:dyDescent="0.3">
      <c r="A14" s="18">
        <v>8</v>
      </c>
      <c r="B14" s="19" t="str">
        <f t="shared" si="0"/>
        <v>Sat</v>
      </c>
      <c r="C14" s="20" t="str">
        <f t="shared" si="1"/>
        <v>Jun 16, 2018</v>
      </c>
      <c r="D14" s="21">
        <f t="shared" si="8"/>
        <v>0.79166666666666663</v>
      </c>
      <c r="E14" s="22" t="str">
        <f>AB28</f>
        <v>Croatia</v>
      </c>
      <c r="F14" s="23">
        <v>2</v>
      </c>
      <c r="G14" s="24">
        <v>0</v>
      </c>
      <c r="H14" s="67" t="str">
        <f>AB29</f>
        <v>Nigeria</v>
      </c>
      <c r="J14" s="77" t="str">
        <f>INDEX(T,9,lang) &amp; " " &amp; "B"</f>
        <v>Group B</v>
      </c>
      <c r="K14" s="78" t="str">
        <f>INDEX(T,10,lang)</f>
        <v>PL</v>
      </c>
      <c r="L14" s="78" t="str">
        <f>INDEX(T,11,lang)</f>
        <v>W</v>
      </c>
      <c r="M14" s="78" t="str">
        <f>INDEX(T,12,lang)</f>
        <v>DRAW</v>
      </c>
      <c r="N14" s="78" t="str">
        <f>INDEX(T,13,lang)</f>
        <v>L</v>
      </c>
      <c r="O14" s="78" t="str">
        <f>INDEX(T,14,lang)</f>
        <v>GF - GA</v>
      </c>
      <c r="P14" s="79" t="str">
        <f>INDEX(T,15,lang)</f>
        <v>PNT</v>
      </c>
      <c r="R14" s="58">
        <f>DATE(2018,6,16)+TIME(8,0,0)+gmt_delta</f>
        <v>43267.791666666672</v>
      </c>
      <c r="S14" s="65" t="str">
        <f t="shared" si="2"/>
        <v>Croatia_win</v>
      </c>
      <c r="T14" s="65" t="str">
        <f t="shared" si="3"/>
        <v>Nigeria_lose</v>
      </c>
      <c r="U14" s="59">
        <f t="shared" si="4"/>
        <v>0</v>
      </c>
      <c r="V14" s="58">
        <f t="shared" si="5"/>
        <v>0</v>
      </c>
      <c r="W14" s="58">
        <f t="shared" si="6"/>
        <v>0</v>
      </c>
      <c r="X14" s="58">
        <f t="shared" si="7"/>
        <v>0</v>
      </c>
      <c r="Y14" s="58">
        <f t="shared" si="9"/>
        <v>1</v>
      </c>
      <c r="AA14" s="58">
        <f>COUNTIF(AN14:AN17,CONCATENATE("&gt;=",AN14))</f>
        <v>1</v>
      </c>
      <c r="AB14" s="59" t="str">
        <f>VLOOKUP("Portugal",T,lang,FALSE)</f>
        <v>Portugal</v>
      </c>
      <c r="AC14" s="58">
        <f>COUNTIF($S$7:$T$54,"=" &amp; AB14 &amp; "_win")</f>
        <v>1</v>
      </c>
      <c r="AD14" s="58">
        <f>COUNTIF($S$7:$T$54,"=" &amp; AB14 &amp; "_draw")</f>
        <v>1</v>
      </c>
      <c r="AE14" s="58">
        <f>COUNTIF($S$7:$T$54,"=" &amp; AB14 &amp; "_lose")</f>
        <v>0</v>
      </c>
      <c r="AF14" s="58">
        <f>SUMIF($E$7:$E$54,$AB14,$F$7:$F$54) + SUMIF($H$7:$H$54,$AB14,$G$7:$G$54)</f>
        <v>4</v>
      </c>
      <c r="AG14" s="58">
        <f>SUMIF($E$7:$E$54,$AB14,$G$7:$G$54) + SUMIF($H$7:$H$54,$AB14,$F$7:$F$54)</f>
        <v>3</v>
      </c>
      <c r="AH14" s="58">
        <f>(AF14-AG14)*100+AK14*10000+AF14</f>
        <v>40104</v>
      </c>
      <c r="AI14" s="58">
        <f>AF14-AG14</f>
        <v>1</v>
      </c>
      <c r="AJ14" s="58">
        <f>(AI14-AI19)/AI18</f>
        <v>0.75</v>
      </c>
      <c r="AK14" s="58">
        <f>AC14*3+AD14</f>
        <v>4</v>
      </c>
      <c r="AL14" s="58">
        <f>AP14/AP18*1000+AQ14/AQ18*100+AT14/AT18*10+AR14/AR18</f>
        <v>50.75</v>
      </c>
      <c r="AM14" s="58">
        <f>VLOOKUP(AB14,db_fifarank,2,FALSE)/2000000</f>
        <v>6.7900000000000002E-4</v>
      </c>
      <c r="AN14" s="59">
        <f>1000*AK14/AK18+100*AJ14+10*AF14/AF18+1*AL14/AL18+AM14</f>
        <v>883.98135532850245</v>
      </c>
      <c r="AO14" s="60" t="str">
        <f>IF(SUM(AC14:AE17)=12,J15,INDEX(T,72,lang))</f>
        <v>1B</v>
      </c>
      <c r="AP14" s="61">
        <f>SUMPRODUCT(($S$7:$S$54=AB14&amp;"_win")*($U$7:$U$54))+SUMPRODUCT(($T$7:$T$54=AB14&amp;"_win")*($U$7:$U$54))</f>
        <v>0</v>
      </c>
      <c r="AQ14" s="62">
        <f>SUMPRODUCT(($S$7:$S$54=AB14&amp;"_draw")*($U$7:$U$54))+SUMPRODUCT(($T$7:$T$54=AB14&amp;"_draw")*($U$7:$U$54))</f>
        <v>1</v>
      </c>
      <c r="AR14" s="62">
        <f>SUMPRODUCT(($E$7:$E$54=AB14)*($U$7:$U$54)*($F$7:$F$54))+SUMPRODUCT(($H$7:$H$54=AB14)*($U$7:$U$54)*($G$7:$G$54))</f>
        <v>3</v>
      </c>
      <c r="AS14" s="62">
        <f>SUMPRODUCT(($E$7:$E$54=AB14)*($U$7:$U$54)*($G$7:$G$54))+SUMPRODUCT(($H$7:$H$54=AB14)*($U$7:$U$54)*($F$7:$F$54))</f>
        <v>3</v>
      </c>
      <c r="AT14" s="62">
        <f>AR14-AS14</f>
        <v>0</v>
      </c>
      <c r="AY14" s="118">
        <v>50</v>
      </c>
      <c r="AZ14" s="28" t="str">
        <f>AO20</f>
        <v>1C</v>
      </c>
      <c r="BA14" s="29"/>
      <c r="BB14" s="30"/>
      <c r="BC14" s="40"/>
      <c r="BD14" s="25"/>
      <c r="BE14" s="25"/>
      <c r="BF14" s="25"/>
      <c r="BG14" s="25"/>
      <c r="BH14" s="25"/>
      <c r="BI14" s="36"/>
      <c r="BJ14" s="25"/>
      <c r="BK14" s="25"/>
      <c r="BL14" s="25"/>
      <c r="BM14" s="25"/>
      <c r="BN14" s="35"/>
      <c r="BO14" s="25"/>
      <c r="BP14" s="25"/>
      <c r="BQ14" s="25"/>
      <c r="BR14" s="25"/>
      <c r="BS14" s="25"/>
      <c r="BT14" s="25"/>
    </row>
    <row r="15" spans="1:72" ht="15" customHeight="1" x14ac:dyDescent="0.3">
      <c r="A15" s="18">
        <v>9</v>
      </c>
      <c r="B15" s="19" t="str">
        <f t="shared" si="0"/>
        <v>Sun</v>
      </c>
      <c r="C15" s="20" t="str">
        <f t="shared" si="1"/>
        <v>Jun 17, 2018</v>
      </c>
      <c r="D15" s="21">
        <f t="shared" si="8"/>
        <v>0.75</v>
      </c>
      <c r="E15" s="22" t="str">
        <f>AB32</f>
        <v>Brazil</v>
      </c>
      <c r="F15" s="23">
        <v>1</v>
      </c>
      <c r="G15" s="24">
        <v>1</v>
      </c>
      <c r="H15" s="67" t="str">
        <f>AB33</f>
        <v>Switzerland</v>
      </c>
      <c r="J15" s="69" t="str">
        <f>VLOOKUP(1,AA14:AK17,2,FALSE)</f>
        <v>Portugal</v>
      </c>
      <c r="K15" s="70">
        <f>L15+M15+N15</f>
        <v>2</v>
      </c>
      <c r="L15" s="70">
        <f>VLOOKUP(1,AA14:AK17,3,FALSE)</f>
        <v>1</v>
      </c>
      <c r="M15" s="70">
        <f>VLOOKUP(1,AA14:AK17,4,FALSE)</f>
        <v>1</v>
      </c>
      <c r="N15" s="70">
        <f>VLOOKUP(1,AA14:AK17,5,FALSE)</f>
        <v>0</v>
      </c>
      <c r="O15" s="70" t="str">
        <f>VLOOKUP(1,AA14:AK17,6,FALSE) &amp; " - " &amp; VLOOKUP(1,AA14:AK17,7,FALSE)</f>
        <v>4 - 3</v>
      </c>
      <c r="P15" s="71">
        <f>L15*3+M15</f>
        <v>4</v>
      </c>
      <c r="R15" s="58">
        <f>DATE(2018,6,17)+TIME(7,0,0)+gmt_delta</f>
        <v>43268.75</v>
      </c>
      <c r="S15" s="65" t="str">
        <f t="shared" si="2"/>
        <v>Brazil_draw</v>
      </c>
      <c r="T15" s="65" t="str">
        <f t="shared" si="3"/>
        <v>Switzerland_draw</v>
      </c>
      <c r="U15" s="59">
        <f t="shared" si="4"/>
        <v>0</v>
      </c>
      <c r="V15" s="58">
        <f t="shared" si="5"/>
        <v>0</v>
      </c>
      <c r="W15" s="58">
        <f t="shared" si="6"/>
        <v>0</v>
      </c>
      <c r="X15" s="58">
        <f t="shared" si="7"/>
        <v>0</v>
      </c>
      <c r="Y15" s="58">
        <f t="shared" si="9"/>
        <v>0</v>
      </c>
      <c r="AA15" s="58">
        <f>COUNTIF(AN14:AN17,CONCATENATE("&gt;=",AN15))</f>
        <v>2</v>
      </c>
      <c r="AB15" s="59" t="str">
        <f>VLOOKUP("Spain",T,lang,FALSE)</f>
        <v>Spain</v>
      </c>
      <c r="AC15" s="58">
        <f>COUNTIF($S$7:$T$54,"=" &amp; AB15 &amp; "_win")</f>
        <v>1</v>
      </c>
      <c r="AD15" s="58">
        <f>COUNTIF($S$7:$T$54,"=" &amp; AB15 &amp; "_draw")</f>
        <v>1</v>
      </c>
      <c r="AE15" s="58">
        <f>COUNTIF($S$7:$T$54,"=" &amp; AB15 &amp; "_lose")</f>
        <v>0</v>
      </c>
      <c r="AF15" s="58">
        <f>SUMIF($E$7:$E$54,$AB15,$F$7:$F$54) + SUMIF($H$7:$H$54,$AB15,$G$7:$G$54)</f>
        <v>4</v>
      </c>
      <c r="AG15" s="58">
        <f>SUMIF($E$7:$E$54,$AB15,$G$7:$G$54) + SUMIF($H$7:$H$54,$AB15,$F$7:$F$54)</f>
        <v>3</v>
      </c>
      <c r="AH15" s="58">
        <f>(AF15-AG15)*100+AK15*10000+AF15</f>
        <v>40104</v>
      </c>
      <c r="AI15" s="58">
        <f>AF15-AG15</f>
        <v>1</v>
      </c>
      <c r="AJ15" s="58">
        <f>(AI15-AI19)/AI18</f>
        <v>0.75</v>
      </c>
      <c r="AK15" s="58">
        <f>AC15*3+AD15</f>
        <v>4</v>
      </c>
      <c r="AL15" s="58">
        <f>AP15/AP18*1000+AQ15/AQ18*100+AT15/AT18*10+AR15/AR18</f>
        <v>50.75</v>
      </c>
      <c r="AM15" s="58">
        <f>VLOOKUP(AB15,db_fifarank,2,FALSE)/2000000</f>
        <v>6.1550000000000005E-4</v>
      </c>
      <c r="AN15" s="59">
        <f>1000*AK15/AK18+100*AJ15+10*AF15/AF18+1*AL15/AL18+AM15</f>
        <v>883.98129182850244</v>
      </c>
      <c r="AO15" s="60" t="str">
        <f>IF(SUM(AC14:AE17)=12,J16,INDEX(T,73,lang))</f>
        <v>2B</v>
      </c>
      <c r="AP15" s="61">
        <f>SUMPRODUCT(($S$7:$S$54=AB15&amp;"_win")*($U$7:$U$54))+SUMPRODUCT(($T$7:$T$54=AB15&amp;"_win")*($U$7:$U$54))</f>
        <v>0</v>
      </c>
      <c r="AQ15" s="62">
        <f>SUMPRODUCT(($S$7:$S$54=AB15&amp;"_draw")*($U$7:$U$54))+SUMPRODUCT(($T$7:$T$54=AB15&amp;"_draw")*($U$7:$U$54))</f>
        <v>1</v>
      </c>
      <c r="AR15" s="62">
        <f>SUMPRODUCT(($E$7:$E$54=AB15)*($U$7:$U$54)*($F$7:$F$54))+SUMPRODUCT(($H$7:$H$54=AB15)*($U$7:$U$54)*($G$7:$G$54))</f>
        <v>3</v>
      </c>
      <c r="AS15" s="62">
        <f>SUMPRODUCT(($E$7:$E$54=AB15)*($U$7:$U$54)*($G$7:$G$54))+SUMPRODUCT(($H$7:$H$54=AB15)*($U$7:$U$54)*($F$7:$F$54))</f>
        <v>3</v>
      </c>
      <c r="AT15" s="62">
        <f>AR15-AS15</f>
        <v>0</v>
      </c>
      <c r="AY15" s="119"/>
      <c r="AZ15" s="31" t="str">
        <f>AO27</f>
        <v>2D</v>
      </c>
      <c r="BA15" s="32"/>
      <c r="BB15" s="33"/>
      <c r="BC15" s="25"/>
      <c r="BD15" s="25"/>
      <c r="BE15" s="25"/>
      <c r="BF15" s="25"/>
      <c r="BG15" s="25"/>
      <c r="BH15" s="25"/>
      <c r="BI15" s="36"/>
      <c r="BJ15" s="25"/>
      <c r="BK15" s="25" t="str">
        <f>INDEX(T,24+MONTH(R76),lang) &amp; " " &amp; DAY(R76) &amp; ", " &amp; YEAR(R76) &amp; "   " &amp; (IF(HOUR(R76)&lt;10,0,"")&amp;HOUR(R76)) &amp; ":" &amp;  (IF(MINUTE(R76)&lt;10,0,"")&amp;MINUTE(R76))</f>
        <v>Jul 10, 2018   18:00</v>
      </c>
      <c r="BL15" s="25"/>
      <c r="BM15" s="25"/>
      <c r="BN15" s="35"/>
      <c r="BO15" s="25"/>
      <c r="BP15" s="25"/>
      <c r="BQ15" s="25"/>
      <c r="BR15" s="25"/>
      <c r="BS15" s="25"/>
      <c r="BT15" s="25"/>
    </row>
    <row r="16" spans="1:72" ht="15" customHeight="1" x14ac:dyDescent="0.3">
      <c r="A16" s="18">
        <v>10</v>
      </c>
      <c r="B16" s="19" t="str">
        <f t="shared" si="0"/>
        <v>Sun</v>
      </c>
      <c r="C16" s="20" t="str">
        <f t="shared" si="1"/>
        <v>Jun 17, 2018</v>
      </c>
      <c r="D16" s="21">
        <f t="shared" si="8"/>
        <v>0.5</v>
      </c>
      <c r="E16" s="22" t="str">
        <f>AB34</f>
        <v>Costa Rica</v>
      </c>
      <c r="F16" s="23">
        <v>0</v>
      </c>
      <c r="G16" s="24">
        <v>1</v>
      </c>
      <c r="H16" s="67" t="str">
        <f>AB35</f>
        <v>Serbia</v>
      </c>
      <c r="J16" s="72" t="str">
        <f>VLOOKUP(2,AA14:AK17,2,FALSE)</f>
        <v>Spain</v>
      </c>
      <c r="K16" s="27">
        <f>L16+M16+N16</f>
        <v>2</v>
      </c>
      <c r="L16" s="27">
        <f>VLOOKUP(2,AA14:AK17,3,FALSE)</f>
        <v>1</v>
      </c>
      <c r="M16" s="27">
        <f>VLOOKUP(2,AA14:AK17,4,FALSE)</f>
        <v>1</v>
      </c>
      <c r="N16" s="27">
        <f>VLOOKUP(2,AA14:AK17,5,FALSE)</f>
        <v>0</v>
      </c>
      <c r="O16" s="27" t="str">
        <f>VLOOKUP(2,AA14:AK17,6,FALSE) &amp; " - " &amp; VLOOKUP(2,AA14:AK17,7,FALSE)</f>
        <v>4 - 3</v>
      </c>
      <c r="P16" s="73">
        <f>L16*3+M16</f>
        <v>4</v>
      </c>
      <c r="R16" s="58">
        <f>DATE(2018,6,17)+TIME(1,0,0)+gmt_delta</f>
        <v>43268.5</v>
      </c>
      <c r="S16" s="65" t="str">
        <f t="shared" si="2"/>
        <v>Costa Rica_lose</v>
      </c>
      <c r="T16" s="65" t="str">
        <f t="shared" si="3"/>
        <v>Serbia_win</v>
      </c>
      <c r="U16" s="59">
        <f t="shared" si="4"/>
        <v>0</v>
      </c>
      <c r="V16" s="58">
        <f t="shared" si="5"/>
        <v>0</v>
      </c>
      <c r="W16" s="58">
        <f t="shared" si="6"/>
        <v>0</v>
      </c>
      <c r="X16" s="58">
        <f t="shared" si="7"/>
        <v>0</v>
      </c>
      <c r="Y16" s="58">
        <f t="shared" si="9"/>
        <v>-1</v>
      </c>
      <c r="AA16" s="58">
        <f>COUNTIF(AN14:AN17,CONCATENATE("&gt;=",AN16))</f>
        <v>4</v>
      </c>
      <c r="AB16" s="59" t="str">
        <f>VLOOKUP("Morocco",T,lang,FALSE)</f>
        <v>Morocco</v>
      </c>
      <c r="AC16" s="58">
        <f>COUNTIF($S$7:$T$54,"=" &amp; AB16 &amp; "_win")</f>
        <v>0</v>
      </c>
      <c r="AD16" s="58">
        <f>COUNTIF($S$7:$T$54,"=" &amp; AB16 &amp; "_draw")</f>
        <v>0</v>
      </c>
      <c r="AE16" s="58">
        <f>COUNTIF($S$7:$T$54,"=" &amp; AB16 &amp; "_lose")</f>
        <v>2</v>
      </c>
      <c r="AF16" s="58">
        <f>SUMIF($E$7:$E$54,$AB16,$F$7:$F$54) + SUMIF($H$7:$H$54,$AB16,$G$7:$G$54)</f>
        <v>0</v>
      </c>
      <c r="AG16" s="58">
        <f>SUMIF($E$7:$E$54,$AB16,$G$7:$G$54) + SUMIF($H$7:$H$54,$AB16,$F$7:$F$54)</f>
        <v>2</v>
      </c>
      <c r="AH16" s="58">
        <f>(AF16-AG16)*100+AK16*10000+AF16</f>
        <v>-200</v>
      </c>
      <c r="AI16" s="58">
        <f>AF16-AG16</f>
        <v>-2</v>
      </c>
      <c r="AJ16" s="58">
        <f>(AI16-AI19)/AI18</f>
        <v>0</v>
      </c>
      <c r="AK16" s="58">
        <f>AC16*3+AD16</f>
        <v>0</v>
      </c>
      <c r="AL16" s="58">
        <f>AP16/AP18*1000+AQ16/AQ18*100+AT16/AT18*10+AR16/AR18</f>
        <v>0</v>
      </c>
      <c r="AM16" s="58">
        <f>VLOOKUP(AB16,db_fifarank,2,FALSE)/2000000</f>
        <v>3.6900000000000002E-4</v>
      </c>
      <c r="AN16" s="59">
        <f>1000*AK16/AK18+100*AJ16+10*AF16/AF18+1*AL16/AL18+AM16</f>
        <v>3.6900000000000002E-4</v>
      </c>
      <c r="AP16" s="61">
        <f>SUMPRODUCT(($S$7:$S$54=AB16&amp;"_win")*($U$7:$U$54))+SUMPRODUCT(($T$7:$T$54=AB16&amp;"_win")*($U$7:$U$54))</f>
        <v>0</v>
      </c>
      <c r="AQ16" s="62">
        <f>SUMPRODUCT(($S$7:$S$54=AB16&amp;"_draw")*($U$7:$U$54))+SUMPRODUCT(($T$7:$T$54=AB16&amp;"_draw")*($U$7:$U$54))</f>
        <v>0</v>
      </c>
      <c r="AR16" s="62">
        <f>SUMPRODUCT(($E$7:$E$54=AB16)*($U$7:$U$54)*($F$7:$F$54))+SUMPRODUCT(($H$7:$H$54=AB16)*($U$7:$U$54)*($G$7:$G$54))</f>
        <v>0</v>
      </c>
      <c r="AS16" s="62">
        <f>SUMPRODUCT(($E$7:$E$54=AB16)*($U$7:$U$54)*($G$7:$G$54))+SUMPRODUCT(($H$7:$H$54=AB16)*($U$7:$U$54)*($F$7:$F$54))</f>
        <v>0</v>
      </c>
      <c r="AT16" s="62">
        <f>AR16-AS16</f>
        <v>0</v>
      </c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36"/>
      <c r="BJ16" s="25"/>
      <c r="BK16" s="118">
        <v>61</v>
      </c>
      <c r="BL16" s="28" t="str">
        <f>T69</f>
        <v>W57</v>
      </c>
      <c r="BM16" s="29"/>
      <c r="BN16" s="30"/>
      <c r="BO16" s="25"/>
      <c r="BP16" s="41"/>
      <c r="BQ16" s="25"/>
      <c r="BR16" s="25"/>
      <c r="BS16" s="25"/>
      <c r="BT16" s="25"/>
    </row>
    <row r="17" spans="1:72" ht="15" customHeight="1" x14ac:dyDescent="0.3">
      <c r="A17" s="18">
        <v>11</v>
      </c>
      <c r="B17" s="19" t="str">
        <f t="shared" si="0"/>
        <v>Sun</v>
      </c>
      <c r="C17" s="20" t="str">
        <f t="shared" si="1"/>
        <v>Jun 17, 2018</v>
      </c>
      <c r="D17" s="21">
        <f t="shared" si="8"/>
        <v>0.625</v>
      </c>
      <c r="E17" s="22" t="str">
        <f>AB38</f>
        <v>Germany</v>
      </c>
      <c r="F17" s="23">
        <v>0</v>
      </c>
      <c r="G17" s="24">
        <v>1</v>
      </c>
      <c r="H17" s="67" t="str">
        <f>AB39</f>
        <v>Mexico</v>
      </c>
      <c r="J17" s="72" t="str">
        <f>VLOOKUP(3,AA14:AK17,2,FALSE)</f>
        <v>Iran</v>
      </c>
      <c r="K17" s="27">
        <f>L17+M17+N17</f>
        <v>2</v>
      </c>
      <c r="L17" s="27">
        <f>VLOOKUP(3,AA14:AK17,3,FALSE)</f>
        <v>1</v>
      </c>
      <c r="M17" s="27">
        <f>VLOOKUP(3,AA14:AK17,4,FALSE)</f>
        <v>0</v>
      </c>
      <c r="N17" s="27">
        <f>VLOOKUP(3,AA14:AK17,5,FALSE)</f>
        <v>1</v>
      </c>
      <c r="O17" s="27" t="str">
        <f>VLOOKUP(3,AA14:AK17,6,FALSE) &amp; " - " &amp; VLOOKUP(3,AA14:AK17,7,FALSE)</f>
        <v>1 - 1</v>
      </c>
      <c r="P17" s="73">
        <f>L17*3+M17</f>
        <v>3</v>
      </c>
      <c r="R17" s="58">
        <f>DATE(2018,6,17)+TIME(4,0,0)+gmt_delta</f>
        <v>43268.625</v>
      </c>
      <c r="S17" s="65" t="str">
        <f t="shared" si="2"/>
        <v>Germany_lose</v>
      </c>
      <c r="T17" s="65" t="str">
        <f t="shared" si="3"/>
        <v>Mexico_win</v>
      </c>
      <c r="U17" s="59">
        <f t="shared" si="4"/>
        <v>0</v>
      </c>
      <c r="V17" s="58">
        <f t="shared" si="5"/>
        <v>0</v>
      </c>
      <c r="W17" s="58">
        <f t="shared" si="6"/>
        <v>0</v>
      </c>
      <c r="X17" s="58">
        <f t="shared" si="7"/>
        <v>0</v>
      </c>
      <c r="Y17" s="58">
        <f t="shared" si="9"/>
        <v>-1</v>
      </c>
      <c r="AA17" s="58">
        <f>COUNTIF(AN14:AN17,CONCATENATE("&gt;=",AN17))</f>
        <v>3</v>
      </c>
      <c r="AB17" s="59" t="str">
        <f>VLOOKUP("Iran",T,lang,FALSE)</f>
        <v>Iran</v>
      </c>
      <c r="AC17" s="58">
        <f>COUNTIF($S$7:$T$54,"=" &amp; AB17 &amp; "_win")</f>
        <v>1</v>
      </c>
      <c r="AD17" s="58">
        <f>COUNTIF($S$7:$T$54,"=" &amp; AB17 &amp; "_draw")</f>
        <v>0</v>
      </c>
      <c r="AE17" s="58">
        <f>COUNTIF($S$7:$T$54,"=" &amp; AB17 &amp; "_lose")</f>
        <v>1</v>
      </c>
      <c r="AF17" s="58">
        <f>SUMIF($E$7:$E$54,$AB17,$F$7:$F$54) + SUMIF($H$7:$H$54,$AB17,$G$7:$G$54)</f>
        <v>1</v>
      </c>
      <c r="AG17" s="58">
        <f>SUMIF($E$7:$E$54,$AB17,$G$7:$G$54) + SUMIF($H$7:$H$54,$AB17,$F$7:$F$54)</f>
        <v>1</v>
      </c>
      <c r="AH17" s="58">
        <f>(AF17-AG17)*100+AK17*10000+AF17</f>
        <v>30001</v>
      </c>
      <c r="AI17" s="58">
        <f>AF17-AG17</f>
        <v>0</v>
      </c>
      <c r="AJ17" s="58">
        <f>(AI17-AI19)/AI18</f>
        <v>0.5</v>
      </c>
      <c r="AK17" s="58">
        <f>AC17*3+AD17</f>
        <v>3</v>
      </c>
      <c r="AL17" s="58">
        <f>AP17/AP18*1000+AQ17/AQ18*100+AT17/AT18*10+AR17/AR18</f>
        <v>0</v>
      </c>
      <c r="AM17" s="58">
        <f>VLOOKUP(AB17,db_fifarank,2,FALSE)/2000000</f>
        <v>3.9899999999999999E-4</v>
      </c>
      <c r="AN17" s="59">
        <f>1000*AK17/AK18+100*AJ17+10*AF17/AF18+1*AL17/AL18+AM17</f>
        <v>652.00039900000002</v>
      </c>
      <c r="AP17" s="61">
        <f>SUMPRODUCT(($S$7:$S$54=AB17&amp;"_win")*($U$7:$U$54))+SUMPRODUCT(($T$7:$T$54=AB17&amp;"_win")*($U$7:$U$54))</f>
        <v>0</v>
      </c>
      <c r="AQ17" s="62">
        <f>SUMPRODUCT(($S$7:$S$54=AB17&amp;"_draw")*($U$7:$U$54))+SUMPRODUCT(($T$7:$T$54=AB17&amp;"_draw")*($U$7:$U$54))</f>
        <v>0</v>
      </c>
      <c r="AR17" s="62">
        <f>SUMPRODUCT(($E$7:$E$54=AB17)*($U$7:$U$54)*($F$7:$F$54))+SUMPRODUCT(($H$7:$H$54=AB17)*($U$7:$U$54)*($G$7:$G$54))</f>
        <v>0</v>
      </c>
      <c r="AS17" s="62">
        <f>SUMPRODUCT(($E$7:$E$54=AB17)*($U$7:$U$54)*($G$7:$G$54))+SUMPRODUCT(($H$7:$H$54=AB17)*($U$7:$U$54)*($F$7:$F$54))</f>
        <v>0</v>
      </c>
      <c r="AT17" s="62">
        <f>AR17-AS17</f>
        <v>0</v>
      </c>
      <c r="AY17" s="25" t="str">
        <f>INDEX(T,24+MONTH(R62),lang) &amp; " " &amp; DAY(R62) &amp; ", " &amp; YEAR(R62) &amp; "   " &amp; (IF(HOUR(R62)&lt;10,0,"")&amp;HOUR(R62)) &amp; ":" &amp;  (IF(MINUTE(R62)&lt;10,0,"")&amp;MINUTE(R62))</f>
        <v>Jul 2, 2018   14:00</v>
      </c>
      <c r="AZ17" s="25"/>
      <c r="BA17" s="25"/>
      <c r="BB17" s="35"/>
      <c r="BC17" s="25"/>
      <c r="BD17" s="25"/>
      <c r="BE17" s="25"/>
      <c r="BF17" s="25"/>
      <c r="BG17" s="25"/>
      <c r="BH17" s="25"/>
      <c r="BI17" s="36"/>
      <c r="BJ17" s="39"/>
      <c r="BK17" s="119"/>
      <c r="BL17" s="31" t="str">
        <f>T70</f>
        <v>W58</v>
      </c>
      <c r="BM17" s="32"/>
      <c r="BN17" s="33"/>
      <c r="BO17" s="34"/>
      <c r="BP17" s="42"/>
      <c r="BQ17" s="25"/>
      <c r="BR17" s="25"/>
      <c r="BS17" s="25"/>
      <c r="BT17" s="25"/>
    </row>
    <row r="18" spans="1:72" ht="15" customHeight="1" x14ac:dyDescent="0.3">
      <c r="A18" s="18">
        <v>12</v>
      </c>
      <c r="B18" s="19" t="str">
        <f t="shared" si="0"/>
        <v>Mon</v>
      </c>
      <c r="C18" s="20" t="str">
        <f t="shared" si="1"/>
        <v>Jun 18, 2018</v>
      </c>
      <c r="D18" s="21">
        <f t="shared" si="8"/>
        <v>0.5</v>
      </c>
      <c r="E18" s="22" t="str">
        <f>AB40</f>
        <v>Sweden</v>
      </c>
      <c r="F18" s="23">
        <v>1</v>
      </c>
      <c r="G18" s="24">
        <v>0</v>
      </c>
      <c r="H18" s="67" t="str">
        <f>AB41</f>
        <v>Korea Republic</v>
      </c>
      <c r="J18" s="74" t="str">
        <f>VLOOKUP(4,AA14:AK17,2,FALSE)</f>
        <v>Morocco</v>
      </c>
      <c r="K18" s="75">
        <f>L18+M18+N18</f>
        <v>2</v>
      </c>
      <c r="L18" s="75">
        <f>VLOOKUP(4,AA14:AK17,3,FALSE)</f>
        <v>0</v>
      </c>
      <c r="M18" s="75">
        <f>VLOOKUP(4,AA14:AK17,4,FALSE)</f>
        <v>0</v>
      </c>
      <c r="N18" s="75">
        <f>VLOOKUP(4,AA14:AK17,5,FALSE)</f>
        <v>2</v>
      </c>
      <c r="O18" s="75" t="str">
        <f>VLOOKUP(4,AA14:AK17,6,FALSE) &amp; " - " &amp; VLOOKUP(4,AA14:AK17,7,FALSE)</f>
        <v>0 - 2</v>
      </c>
      <c r="P18" s="76">
        <f>L18*3+M18</f>
        <v>0</v>
      </c>
      <c r="R18" s="58">
        <f>DATE(2018,6,18)+TIME(1,0,0)+gmt_delta</f>
        <v>43269.5</v>
      </c>
      <c r="S18" s="65" t="str">
        <f t="shared" si="2"/>
        <v>Sweden_win</v>
      </c>
      <c r="T18" s="65" t="str">
        <f t="shared" si="3"/>
        <v>Korea Republic_lose</v>
      </c>
      <c r="U18" s="59">
        <f t="shared" si="4"/>
        <v>0</v>
      </c>
      <c r="V18" s="58">
        <f t="shared" si="5"/>
        <v>0</v>
      </c>
      <c r="W18" s="58">
        <f t="shared" si="6"/>
        <v>0</v>
      </c>
      <c r="X18" s="58">
        <f t="shared" si="7"/>
        <v>0</v>
      </c>
      <c r="Y18" s="58">
        <f t="shared" si="9"/>
        <v>1</v>
      </c>
      <c r="AC18" s="58">
        <f t="shared" ref="AC18:AL18" si="11">MAX(AC14:AC17)-MIN(AC14:AC17)+1</f>
        <v>2</v>
      </c>
      <c r="AD18" s="58">
        <f t="shared" si="11"/>
        <v>2</v>
      </c>
      <c r="AE18" s="58">
        <f t="shared" si="11"/>
        <v>3</v>
      </c>
      <c r="AF18" s="58">
        <f t="shared" si="11"/>
        <v>5</v>
      </c>
      <c r="AG18" s="58">
        <f t="shared" si="11"/>
        <v>3</v>
      </c>
      <c r="AH18" s="58">
        <f>MAX(AH14:AH17)-AH19+1</f>
        <v>40305</v>
      </c>
      <c r="AI18" s="58">
        <f>MAX(AI14:AI17)-AI19+1</f>
        <v>4</v>
      </c>
      <c r="AK18" s="58">
        <f t="shared" si="11"/>
        <v>5</v>
      </c>
      <c r="AL18" s="58">
        <f t="shared" si="11"/>
        <v>51.75</v>
      </c>
      <c r="AP18" s="58">
        <f>MAX(AP14:AP17)-MIN(AP14:AP17)+1</f>
        <v>1</v>
      </c>
      <c r="AQ18" s="58">
        <f>MAX(AQ14:AQ17)-MIN(AQ14:AQ17)+1</f>
        <v>2</v>
      </c>
      <c r="AR18" s="58">
        <f>MAX(AR14:AR17)-MIN(AR14:AR17)+1</f>
        <v>4</v>
      </c>
      <c r="AS18" s="58">
        <f>MAX(AS14:AS17)-MIN(AS14:AS17)+1</f>
        <v>4</v>
      </c>
      <c r="AT18" s="58">
        <f>MAX(AT14:AT17)-MIN(AT14:AT17)+1</f>
        <v>1</v>
      </c>
      <c r="AY18" s="118">
        <v>53</v>
      </c>
      <c r="AZ18" s="28" t="str">
        <f>AO32</f>
        <v>1E</v>
      </c>
      <c r="BA18" s="29"/>
      <c r="BB18" s="30"/>
      <c r="BC18" s="25"/>
      <c r="BD18" s="25"/>
      <c r="BE18" s="25"/>
      <c r="BF18" s="25"/>
      <c r="BG18" s="25"/>
      <c r="BH18" s="25"/>
      <c r="BI18" s="36"/>
      <c r="BJ18" s="25"/>
      <c r="BK18" s="25"/>
      <c r="BL18" s="25"/>
      <c r="BM18" s="25"/>
      <c r="BN18" s="25"/>
      <c r="BO18" s="36"/>
      <c r="BP18" s="25"/>
      <c r="BQ18" s="25"/>
      <c r="BR18" s="25"/>
      <c r="BS18" s="25"/>
      <c r="BT18" s="25"/>
    </row>
    <row r="19" spans="1:72" ht="15" customHeight="1" x14ac:dyDescent="0.3">
      <c r="A19" s="18">
        <v>13</v>
      </c>
      <c r="B19" s="19" t="str">
        <f t="shared" si="0"/>
        <v>Mon</v>
      </c>
      <c r="C19" s="20" t="str">
        <f t="shared" si="1"/>
        <v>Jun 18, 2018</v>
      </c>
      <c r="D19" s="21">
        <f t="shared" si="8"/>
        <v>0.625</v>
      </c>
      <c r="E19" s="22" t="str">
        <f>AB44</f>
        <v>Belgium</v>
      </c>
      <c r="F19" s="23">
        <v>3</v>
      </c>
      <c r="G19" s="24">
        <v>0</v>
      </c>
      <c r="H19" s="67" t="str">
        <f>AB45</f>
        <v>Panama</v>
      </c>
      <c r="J19" s="37"/>
      <c r="K19" s="38"/>
      <c r="L19" s="38"/>
      <c r="M19" s="38"/>
      <c r="N19" s="38"/>
      <c r="O19" s="38"/>
      <c r="P19" s="38"/>
      <c r="R19" s="58">
        <f>DATE(2018,6,18)+TIME(4,0,0)+gmt_delta</f>
        <v>43269.625</v>
      </c>
      <c r="S19" s="65" t="str">
        <f t="shared" si="2"/>
        <v>Belgium_win</v>
      </c>
      <c r="T19" s="65" t="str">
        <f t="shared" si="3"/>
        <v>Panama_lose</v>
      </c>
      <c r="U19" s="59">
        <f t="shared" si="4"/>
        <v>0</v>
      </c>
      <c r="V19" s="58">
        <f t="shared" si="5"/>
        <v>0</v>
      </c>
      <c r="W19" s="58">
        <f t="shared" si="6"/>
        <v>0</v>
      </c>
      <c r="X19" s="58">
        <f t="shared" si="7"/>
        <v>0</v>
      </c>
      <c r="Y19" s="58">
        <f t="shared" si="9"/>
        <v>1</v>
      </c>
      <c r="AH19" s="58">
        <f>MIN(AH14:AH17)</f>
        <v>-200</v>
      </c>
      <c r="AI19" s="58">
        <f>MIN(AI14:AI17)</f>
        <v>-2</v>
      </c>
      <c r="AY19" s="119"/>
      <c r="AZ19" s="31" t="str">
        <f>AO39</f>
        <v>2F</v>
      </c>
      <c r="BA19" s="32"/>
      <c r="BB19" s="33"/>
      <c r="BC19" s="34"/>
      <c r="BD19" s="25"/>
      <c r="BE19" s="25" t="str">
        <f>INDEX(T,24+MONTH(R70),lang) &amp; " " &amp; DAY(R70) &amp; ", " &amp; YEAR(R70) &amp; "   " &amp; (IF(HOUR(R70)&lt;10,0,"")&amp;HOUR(R70)) &amp; ":" &amp;  (IF(MINUTE(R70)&lt;10,0,"")&amp;MINUTE(R70))</f>
        <v>Jul 6, 2018   18:00</v>
      </c>
      <c r="BF19" s="25"/>
      <c r="BG19" s="25"/>
      <c r="BH19" s="35"/>
      <c r="BI19" s="36"/>
      <c r="BJ19" s="25"/>
      <c r="BK19" s="25"/>
      <c r="BL19" s="25"/>
      <c r="BM19" s="25"/>
      <c r="BN19" s="25"/>
      <c r="BO19" s="36"/>
      <c r="BP19" s="25"/>
      <c r="BQ19" s="25"/>
      <c r="BR19" s="25"/>
      <c r="BS19" s="25"/>
      <c r="BT19" s="25"/>
    </row>
    <row r="20" spans="1:72" ht="15" customHeight="1" x14ac:dyDescent="0.3">
      <c r="A20" s="18">
        <v>14</v>
      </c>
      <c r="B20" s="19" t="str">
        <f t="shared" si="0"/>
        <v>Mon</v>
      </c>
      <c r="C20" s="20" t="str">
        <f t="shared" si="1"/>
        <v>Jun 18, 2018</v>
      </c>
      <c r="D20" s="21">
        <f t="shared" si="8"/>
        <v>0.75</v>
      </c>
      <c r="E20" s="22" t="str">
        <f>AB46</f>
        <v>Tunisia</v>
      </c>
      <c r="F20" s="23">
        <v>1</v>
      </c>
      <c r="G20" s="24">
        <v>2</v>
      </c>
      <c r="H20" s="67" t="str">
        <f>AB47</f>
        <v>England</v>
      </c>
      <c r="J20" s="77" t="str">
        <f>INDEX(T,9,lang) &amp; " " &amp; "C"</f>
        <v>Group C</v>
      </c>
      <c r="K20" s="78" t="str">
        <f>INDEX(T,10,lang)</f>
        <v>PL</v>
      </c>
      <c r="L20" s="78" t="str">
        <f>INDEX(T,11,lang)</f>
        <v>W</v>
      </c>
      <c r="M20" s="78" t="str">
        <f>INDEX(T,12,lang)</f>
        <v>DRAW</v>
      </c>
      <c r="N20" s="78" t="str">
        <f>INDEX(T,13,lang)</f>
        <v>L</v>
      </c>
      <c r="O20" s="78" t="str">
        <f>INDEX(T,14,lang)</f>
        <v>GF - GA</v>
      </c>
      <c r="P20" s="79" t="str">
        <f>INDEX(T,15,lang)</f>
        <v>PNT</v>
      </c>
      <c r="R20" s="58">
        <f>DATE(2018,6,18)+TIME(7,0,0)+gmt_delta</f>
        <v>43269.75</v>
      </c>
      <c r="S20" s="65" t="str">
        <f t="shared" si="2"/>
        <v>Tunisia_lose</v>
      </c>
      <c r="T20" s="65" t="str">
        <f t="shared" si="3"/>
        <v>England_win</v>
      </c>
      <c r="U20" s="59">
        <f t="shared" si="4"/>
        <v>0</v>
      </c>
      <c r="V20" s="58">
        <f t="shared" si="5"/>
        <v>0</v>
      </c>
      <c r="W20" s="58">
        <f t="shared" si="6"/>
        <v>0</v>
      </c>
      <c r="X20" s="58">
        <f t="shared" si="7"/>
        <v>0</v>
      </c>
      <c r="Y20" s="58">
        <f t="shared" si="9"/>
        <v>-1</v>
      </c>
      <c r="AA20" s="58">
        <f>COUNTIF(AN20:AN23,CONCATENATE("&gt;=",AN20))</f>
        <v>1</v>
      </c>
      <c r="AB20" s="59" t="str">
        <f>VLOOKUP("France",T,lang,FALSE)</f>
        <v>France</v>
      </c>
      <c r="AC20" s="58">
        <f>COUNTIF($S$7:$T$54,"=" &amp; AB20 &amp; "_win")</f>
        <v>2</v>
      </c>
      <c r="AD20" s="58">
        <f>COUNTIF($S$7:$T$54,"=" &amp; AB20 &amp; "_draw")</f>
        <v>0</v>
      </c>
      <c r="AE20" s="58">
        <f>COUNTIF($S$7:$T$54,"=" &amp; AB20 &amp; "_lose")</f>
        <v>0</v>
      </c>
      <c r="AF20" s="58">
        <f>SUMIF($E$7:$E$54,$AB20,$F$7:$F$54) + SUMIF($H$7:$H$54,$AB20,$G$7:$G$54)</f>
        <v>3</v>
      </c>
      <c r="AG20" s="58">
        <f>SUMIF($E$7:$E$54,$AB20,$G$7:$G$54) + SUMIF($H$7:$H$54,$AB20,$F$7:$F$54)</f>
        <v>1</v>
      </c>
      <c r="AH20" s="58">
        <f>(AF20-AG20)*100+AK20*10000+AF20</f>
        <v>60203</v>
      </c>
      <c r="AI20" s="58">
        <f>AF20-AG20</f>
        <v>2</v>
      </c>
      <c r="AJ20" s="58">
        <f>(AI20-AI25)/AI24</f>
        <v>0.8</v>
      </c>
      <c r="AK20" s="58">
        <f>AC20*3+AD20</f>
        <v>6</v>
      </c>
      <c r="AL20" s="58">
        <f>AP20/AP24*1000+AQ20/AQ24*100+AT20/AT24*10+AR20/AR24</f>
        <v>0</v>
      </c>
      <c r="AM20" s="58">
        <f>VLOOKUP(AB20,db_fifarank,2,FALSE)/2000000</f>
        <v>5.9150000000000001E-4</v>
      </c>
      <c r="AN20" s="59">
        <f>1000*AK20/AK24+100*AJ20+10*AF20/AF24+1*AL20/AL24+AM20</f>
        <v>944.64344864285715</v>
      </c>
      <c r="AO20" s="60" t="str">
        <f>IF(SUM(AC20:AE23)=12,J21,INDEX(T,74,lang))</f>
        <v>1C</v>
      </c>
      <c r="AP20" s="61">
        <f>SUMPRODUCT(($S$7:$S$54=AB20&amp;"_win")*($U$7:$U$54))+SUMPRODUCT(($T$7:$T$54=AB20&amp;"_win")*($U$7:$U$54))</f>
        <v>0</v>
      </c>
      <c r="AQ20" s="62">
        <f>SUMPRODUCT(($S$7:$S$54=AB20&amp;"_draw")*($U$7:$U$54))+SUMPRODUCT(($T$7:$T$54=AB20&amp;"_draw")*($U$7:$U$54))</f>
        <v>0</v>
      </c>
      <c r="AR20" s="62">
        <f>SUMPRODUCT(($E$7:$E$54=AB20)*($U$7:$U$54)*($F$7:$F$54))+SUMPRODUCT(($H$7:$H$54=AB20)*($U$7:$U$54)*($G$7:$G$54))</f>
        <v>0</v>
      </c>
      <c r="AS20" s="62">
        <f>SUMPRODUCT(($E$7:$E$54=AB20)*($U$7:$U$54)*($G$7:$G$54))+SUMPRODUCT(($H$7:$H$54=AB20)*($U$7:$U$54)*($F$7:$F$54))</f>
        <v>0</v>
      </c>
      <c r="AT20" s="62">
        <f>AR20-AS20</f>
        <v>0</v>
      </c>
      <c r="AY20" s="25"/>
      <c r="AZ20" s="25"/>
      <c r="BA20" s="25"/>
      <c r="BB20" s="25"/>
      <c r="BC20" s="36"/>
      <c r="BD20" s="25"/>
      <c r="BE20" s="118">
        <v>58</v>
      </c>
      <c r="BF20" s="28" t="str">
        <f>T62</f>
        <v>W53</v>
      </c>
      <c r="BG20" s="29"/>
      <c r="BH20" s="30"/>
      <c r="BI20" s="40"/>
      <c r="BJ20" s="25"/>
      <c r="BK20" s="25"/>
      <c r="BL20" s="25"/>
      <c r="BM20" s="25"/>
      <c r="BN20" s="25"/>
      <c r="BO20" s="36"/>
      <c r="BP20" s="25"/>
      <c r="BQ20" s="25"/>
      <c r="BR20" s="25"/>
      <c r="BS20" s="25"/>
      <c r="BT20" s="25"/>
    </row>
    <row r="21" spans="1:72" ht="15" customHeight="1" x14ac:dyDescent="0.3">
      <c r="A21" s="18">
        <v>15</v>
      </c>
      <c r="B21" s="19" t="str">
        <f t="shared" si="0"/>
        <v>Tue</v>
      </c>
      <c r="C21" s="20" t="str">
        <f t="shared" si="1"/>
        <v>Jun 19, 2018</v>
      </c>
      <c r="D21" s="21">
        <f t="shared" si="8"/>
        <v>0.625</v>
      </c>
      <c r="E21" s="22" t="str">
        <f>AB50</f>
        <v>Poland</v>
      </c>
      <c r="F21" s="23">
        <v>1</v>
      </c>
      <c r="G21" s="24">
        <v>2</v>
      </c>
      <c r="H21" s="67" t="str">
        <f>AB51</f>
        <v>Senegal</v>
      </c>
      <c r="J21" s="69" t="str">
        <f>VLOOKUP(1,AA20:AK23,2,FALSE)</f>
        <v>France</v>
      </c>
      <c r="K21" s="70">
        <f>L21+M21+N21</f>
        <v>2</v>
      </c>
      <c r="L21" s="70">
        <f>VLOOKUP(1,AA20:AK23,3,FALSE)</f>
        <v>2</v>
      </c>
      <c r="M21" s="70">
        <f>VLOOKUP(1,AA20:AK23,4,FALSE)</f>
        <v>0</v>
      </c>
      <c r="N21" s="70">
        <f>VLOOKUP(1,AA20:AK23,5,FALSE)</f>
        <v>0</v>
      </c>
      <c r="O21" s="70" t="str">
        <f>VLOOKUP(1,AA20:AK23,6,FALSE) &amp; " - " &amp; VLOOKUP(1,AA20:AK23,7,FALSE)</f>
        <v>3 - 1</v>
      </c>
      <c r="P21" s="71">
        <f>L21*3+M21</f>
        <v>6</v>
      </c>
      <c r="R21" s="58">
        <f>DATE(2018,6,19)+TIME(4,0,0)+gmt_delta</f>
        <v>43270.625</v>
      </c>
      <c r="S21" s="65" t="str">
        <f t="shared" si="2"/>
        <v>Poland_lose</v>
      </c>
      <c r="T21" s="65" t="str">
        <f t="shared" si="3"/>
        <v>Senegal_win</v>
      </c>
      <c r="U21" s="59">
        <f t="shared" si="4"/>
        <v>0</v>
      </c>
      <c r="V21" s="58">
        <f t="shared" si="5"/>
        <v>0</v>
      </c>
      <c r="W21" s="58">
        <f t="shared" si="6"/>
        <v>0</v>
      </c>
      <c r="X21" s="58">
        <f t="shared" si="7"/>
        <v>0</v>
      </c>
      <c r="Y21" s="58">
        <f t="shared" si="9"/>
        <v>-1</v>
      </c>
      <c r="AA21" s="58">
        <f>COUNTIF(AN20:AN23,CONCATENATE("&gt;=",AN21))</f>
        <v>3</v>
      </c>
      <c r="AB21" s="59" t="str">
        <f>VLOOKUP("Australia",T,lang,FALSE)</f>
        <v>Australia</v>
      </c>
      <c r="AC21" s="58">
        <f>COUNTIF($S$7:$T$54,"=" &amp; AB21 &amp; "_win")</f>
        <v>0</v>
      </c>
      <c r="AD21" s="58">
        <f>COUNTIF($S$7:$T$54,"=" &amp; AB21 &amp; "_draw")</f>
        <v>1</v>
      </c>
      <c r="AE21" s="58">
        <f>COUNTIF($S$7:$T$54,"=" &amp; AB21 &amp; "_lose")</f>
        <v>1</v>
      </c>
      <c r="AF21" s="58">
        <f>SUMIF($E$7:$E$54,$AB21,$F$7:$F$54) + SUMIF($H$7:$H$54,$AB21,$G$7:$G$54)</f>
        <v>2</v>
      </c>
      <c r="AG21" s="58">
        <f>SUMIF($E$7:$E$54,$AB21,$G$7:$G$54) + SUMIF($H$7:$H$54,$AB21,$F$7:$F$54)</f>
        <v>3</v>
      </c>
      <c r="AH21" s="58">
        <f>(AF21-AG21)*100+AK21*10000+AF21</f>
        <v>9902</v>
      </c>
      <c r="AI21" s="58">
        <f>AF21-AG21</f>
        <v>-1</v>
      </c>
      <c r="AJ21" s="58">
        <f>(AI21-AI25)/AI24</f>
        <v>0.2</v>
      </c>
      <c r="AK21" s="58">
        <f>AC21*3+AD21</f>
        <v>1</v>
      </c>
      <c r="AL21" s="58">
        <f>AP21/AP24*1000+AQ21/AQ24*100+AT21/AT24*10+AR21/AR24</f>
        <v>0</v>
      </c>
      <c r="AM21" s="58">
        <f>VLOOKUP(AB21,db_fifarank,2,FALSE)/2000000</f>
        <v>3.7350000000000003E-4</v>
      </c>
      <c r="AN21" s="59">
        <f>1000*AK21/AK24+100*AJ21+10*AF21/AF24+1*AL21/AL24+AM21</f>
        <v>167.85751635714286</v>
      </c>
      <c r="AO21" s="60" t="str">
        <f>IF(SUM(AC20:AE23)=12,J22,INDEX(T,75,lang))</f>
        <v>2C</v>
      </c>
      <c r="AP21" s="61">
        <f>SUMPRODUCT(($S$7:$S$54=AB21&amp;"_win")*($U$7:$U$54))+SUMPRODUCT(($T$7:$T$54=AB21&amp;"_win")*($U$7:$U$54))</f>
        <v>0</v>
      </c>
      <c r="AQ21" s="62">
        <f>SUMPRODUCT(($S$7:$S$54=AB21&amp;"_draw")*($U$7:$U$54))+SUMPRODUCT(($T$7:$T$54=AB21&amp;"_draw")*($U$7:$U$54))</f>
        <v>0</v>
      </c>
      <c r="AR21" s="62">
        <f>SUMPRODUCT(($E$7:$E$54=AB21)*($U$7:$U$54)*($F$7:$F$54))+SUMPRODUCT(($H$7:$H$54=AB21)*($U$7:$U$54)*($G$7:$G$54))</f>
        <v>0</v>
      </c>
      <c r="AS21" s="62">
        <f>SUMPRODUCT(($E$7:$E$54=AB21)*($U$7:$U$54)*($G$7:$G$54))+SUMPRODUCT(($H$7:$H$54=AB21)*($U$7:$U$54)*($F$7:$F$54))</f>
        <v>0</v>
      </c>
      <c r="AT21" s="62">
        <f>AR21-AS21</f>
        <v>0</v>
      </c>
      <c r="AY21" s="25" t="str">
        <f>INDEX(T,24+MONTH(R63),lang) &amp; " " &amp; DAY(R63) &amp; ", " &amp; YEAR(R63) &amp; "   " &amp;  (IF(HOUR(R63)&lt;10,0,"")&amp;HOUR(R63)) &amp; ":" &amp;  (IF(MINUTE(R63)&lt;10,0,"")&amp;MINUTE(R63))</f>
        <v>Jul 2, 2018   18:00</v>
      </c>
      <c r="AZ21" s="25"/>
      <c r="BA21" s="25"/>
      <c r="BB21" s="35"/>
      <c r="BC21" s="36"/>
      <c r="BD21" s="39"/>
      <c r="BE21" s="119"/>
      <c r="BF21" s="31" t="str">
        <f>T63</f>
        <v>W54</v>
      </c>
      <c r="BG21" s="32"/>
      <c r="BH21" s="33"/>
      <c r="BI21" s="25"/>
      <c r="BJ21" s="25"/>
      <c r="BK21" s="25"/>
      <c r="BL21" s="25"/>
      <c r="BM21" s="25"/>
      <c r="BN21" s="25"/>
      <c r="BO21" s="36"/>
      <c r="BP21" s="25"/>
      <c r="BQ21" s="25"/>
      <c r="BR21" s="25"/>
      <c r="BS21" s="25"/>
      <c r="BT21" s="25"/>
    </row>
    <row r="22" spans="1:72" ht="15" customHeight="1" x14ac:dyDescent="0.3">
      <c r="A22" s="18">
        <v>16</v>
      </c>
      <c r="B22" s="19" t="str">
        <f t="shared" si="0"/>
        <v>Tue</v>
      </c>
      <c r="C22" s="20" t="str">
        <f t="shared" si="1"/>
        <v>Jun 19, 2018</v>
      </c>
      <c r="D22" s="21">
        <f t="shared" si="8"/>
        <v>0.5</v>
      </c>
      <c r="E22" s="22" t="str">
        <f>AB52</f>
        <v>Colombia</v>
      </c>
      <c r="F22" s="23">
        <v>1</v>
      </c>
      <c r="G22" s="24">
        <v>2</v>
      </c>
      <c r="H22" s="67" t="str">
        <f>AB53</f>
        <v>Japan</v>
      </c>
      <c r="J22" s="72" t="str">
        <f>VLOOKUP(2,AA20:AK23,2,FALSE)</f>
        <v>Denmark</v>
      </c>
      <c r="K22" s="27">
        <f>L22+M22+N22</f>
        <v>2</v>
      </c>
      <c r="L22" s="27">
        <f>VLOOKUP(2,AA20:AK23,3,FALSE)</f>
        <v>1</v>
      </c>
      <c r="M22" s="27">
        <f>VLOOKUP(2,AA20:AK23,4,FALSE)</f>
        <v>1</v>
      </c>
      <c r="N22" s="27">
        <f>VLOOKUP(2,AA20:AK23,5,FALSE)</f>
        <v>0</v>
      </c>
      <c r="O22" s="27" t="str">
        <f>VLOOKUP(2,AA20:AK23,6,FALSE) &amp; " - " &amp; VLOOKUP(2,AA20:AK23,7,FALSE)</f>
        <v>2 - 1</v>
      </c>
      <c r="P22" s="73">
        <f>L22*3+M22</f>
        <v>4</v>
      </c>
      <c r="R22" s="58">
        <f>DATE(2018,6,19)+TIME(1,0,0)+gmt_delta</f>
        <v>43270.5</v>
      </c>
      <c r="S22" s="65" t="str">
        <f t="shared" si="2"/>
        <v>Colombia_lose</v>
      </c>
      <c r="T22" s="65" t="str">
        <f t="shared" si="3"/>
        <v>Japan_win</v>
      </c>
      <c r="U22" s="59">
        <f t="shared" si="4"/>
        <v>0</v>
      </c>
      <c r="V22" s="58">
        <f t="shared" si="5"/>
        <v>0</v>
      </c>
      <c r="W22" s="58">
        <f t="shared" si="6"/>
        <v>0</v>
      </c>
      <c r="X22" s="58">
        <f t="shared" si="7"/>
        <v>0</v>
      </c>
      <c r="Y22" s="58">
        <f t="shared" si="9"/>
        <v>-1</v>
      </c>
      <c r="AA22" s="58">
        <f>COUNTIF(AN20:AN23,CONCATENATE("&gt;=",AN22))</f>
        <v>4</v>
      </c>
      <c r="AB22" s="59" t="str">
        <f>VLOOKUP("Peru",T,lang,FALSE)</f>
        <v>Peru</v>
      </c>
      <c r="AC22" s="58">
        <f>COUNTIF($S$7:$T$54,"=" &amp; AB22 &amp; "_win")</f>
        <v>0</v>
      </c>
      <c r="AD22" s="58">
        <f>COUNTIF($S$7:$T$54,"=" &amp; AB22 &amp; "_draw")</f>
        <v>0</v>
      </c>
      <c r="AE22" s="58">
        <f>COUNTIF($S$7:$T$54,"=" &amp; AB22 &amp; "_lose")</f>
        <v>2</v>
      </c>
      <c r="AF22" s="58">
        <f>SUMIF($E$7:$E$54,$AB22,$F$7:$F$54) + SUMIF($H$7:$H$54,$AB22,$G$7:$G$54)</f>
        <v>0</v>
      </c>
      <c r="AG22" s="58">
        <f>SUMIF($E$7:$E$54,$AB22,$G$7:$G$54) + SUMIF($H$7:$H$54,$AB22,$F$7:$F$54)</f>
        <v>2</v>
      </c>
      <c r="AH22" s="58">
        <f>(AF22-AG22)*100+AK22*10000+AF22</f>
        <v>-200</v>
      </c>
      <c r="AI22" s="58">
        <f>AF22-AG22</f>
        <v>-2</v>
      </c>
      <c r="AJ22" s="58">
        <f>(AI22-AI25)/AI24</f>
        <v>0</v>
      </c>
      <c r="AK22" s="58">
        <f>AC22*3+AD22</f>
        <v>0</v>
      </c>
      <c r="AL22" s="58">
        <f>AP22/AP24*1000+AQ22/AQ24*100+AT22/AT24*10+AR22/AR24</f>
        <v>0</v>
      </c>
      <c r="AM22" s="58">
        <f>VLOOKUP(AB22,db_fifarank,2,FALSE)/2000000</f>
        <v>5.6400000000000005E-4</v>
      </c>
      <c r="AN22" s="59">
        <f>1000*AK22/AK24+100*AJ22+10*AF22/AF24+1*AL22/AL24+AM22</f>
        <v>5.6400000000000005E-4</v>
      </c>
      <c r="AP22" s="61">
        <f>SUMPRODUCT(($S$7:$S$54=AB22&amp;"_win")*($U$7:$U$54))+SUMPRODUCT(($T$7:$T$54=AB22&amp;"_win")*($U$7:$U$54))</f>
        <v>0</v>
      </c>
      <c r="AQ22" s="62">
        <f>SUMPRODUCT(($S$7:$S$54=AB22&amp;"_draw")*($U$7:$U$54))+SUMPRODUCT(($T$7:$T$54=AB22&amp;"_draw")*($U$7:$U$54))</f>
        <v>0</v>
      </c>
      <c r="AR22" s="62">
        <f>SUMPRODUCT(($E$7:$E$54=AB22)*($U$7:$U$54)*($F$7:$F$54))+SUMPRODUCT(($H$7:$H$54=AB22)*($U$7:$U$54)*($G$7:$G$54))</f>
        <v>0</v>
      </c>
      <c r="AS22" s="62">
        <f>SUMPRODUCT(($E$7:$E$54=AB22)*($U$7:$U$54)*($G$7:$G$54))+SUMPRODUCT(($H$7:$H$54=AB22)*($U$7:$U$54)*($F$7:$F$54))</f>
        <v>0</v>
      </c>
      <c r="AT22" s="62">
        <f>AR22-AS22</f>
        <v>0</v>
      </c>
      <c r="AY22" s="118">
        <v>54</v>
      </c>
      <c r="AZ22" s="28" t="str">
        <f>AO44</f>
        <v>1G</v>
      </c>
      <c r="BA22" s="29"/>
      <c r="BB22" s="30"/>
      <c r="BC22" s="40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36"/>
      <c r="BP22" s="25"/>
      <c r="BQ22" s="25" t="str">
        <f>INDEX(T,24+MONTH(R85),lang) &amp; " " &amp; DAY(R85) &amp; ", " &amp; YEAR(R85) &amp; "   " &amp; (IF(HOUR(R85)&lt;10,0,"")&amp;HOUR(R85)) &amp; ":" &amp;  (IF(MINUTE(R85)&lt;10,0,"")&amp;MINUTE(R85))</f>
        <v>Jul 15, 2018   15:00</v>
      </c>
      <c r="BR22" s="25"/>
      <c r="BS22" s="25"/>
      <c r="BT22" s="35"/>
    </row>
    <row r="23" spans="1:72" ht="15" customHeight="1" x14ac:dyDescent="0.3">
      <c r="A23" s="18">
        <v>17</v>
      </c>
      <c r="B23" s="19" t="str">
        <f t="shared" si="0"/>
        <v>Tue</v>
      </c>
      <c r="C23" s="20" t="str">
        <f t="shared" si="1"/>
        <v>Jun 19, 2018</v>
      </c>
      <c r="D23" s="21">
        <f t="shared" si="8"/>
        <v>0.75</v>
      </c>
      <c r="E23" s="22" t="str">
        <f>AB8</f>
        <v>Russia</v>
      </c>
      <c r="F23" s="23">
        <v>3</v>
      </c>
      <c r="G23" s="24">
        <v>1</v>
      </c>
      <c r="H23" s="67" t="str">
        <f>AB10</f>
        <v>Egypt</v>
      </c>
      <c r="J23" s="72" t="str">
        <f>VLOOKUP(3,AA20:AK23,2,FALSE)</f>
        <v>Australia</v>
      </c>
      <c r="K23" s="27">
        <f>L23+M23+N23</f>
        <v>2</v>
      </c>
      <c r="L23" s="27">
        <f>VLOOKUP(3,AA20:AK23,3,FALSE)</f>
        <v>0</v>
      </c>
      <c r="M23" s="27">
        <f>VLOOKUP(3,AA20:AK23,4,FALSE)</f>
        <v>1</v>
      </c>
      <c r="N23" s="27">
        <f>VLOOKUP(3,AA20:AK23,5,FALSE)</f>
        <v>1</v>
      </c>
      <c r="O23" s="27" t="str">
        <f>VLOOKUP(3,AA20:AK23,6,FALSE) &amp; " - " &amp; VLOOKUP(3,AA20:AK23,7,FALSE)</f>
        <v>2 - 3</v>
      </c>
      <c r="P23" s="73">
        <f>L23*3+M23</f>
        <v>1</v>
      </c>
      <c r="R23" s="58">
        <f>DATE(2018,6,19)+TIME(7,0,0)+gmt_delta</f>
        <v>43270.75</v>
      </c>
      <c r="S23" s="65" t="str">
        <f t="shared" si="2"/>
        <v>Russia_win</v>
      </c>
      <c r="T23" s="65" t="str">
        <f t="shared" si="3"/>
        <v>Egypt_lose</v>
      </c>
      <c r="U23" s="59">
        <f t="shared" si="4"/>
        <v>0</v>
      </c>
      <c r="V23" s="58">
        <f t="shared" si="5"/>
        <v>0</v>
      </c>
      <c r="W23" s="58">
        <f t="shared" si="6"/>
        <v>0</v>
      </c>
      <c r="X23" s="58">
        <f t="shared" si="7"/>
        <v>0</v>
      </c>
      <c r="Y23" s="58">
        <f t="shared" si="9"/>
        <v>1</v>
      </c>
      <c r="AA23" s="58">
        <f>COUNTIF(AN20:AN23,CONCATENATE("&gt;=",AN23))</f>
        <v>2</v>
      </c>
      <c r="AB23" s="59" t="str">
        <f>VLOOKUP("Denmark",T,lang,FALSE)</f>
        <v>Denmark</v>
      </c>
      <c r="AC23" s="58">
        <f>COUNTIF($S$7:$T$54,"=" &amp; AB23 &amp; "_win")</f>
        <v>1</v>
      </c>
      <c r="AD23" s="58">
        <f>COUNTIF($S$7:$T$54,"=" &amp; AB23 &amp; "_draw")</f>
        <v>1</v>
      </c>
      <c r="AE23" s="58">
        <f>COUNTIF($S$7:$T$54,"=" &amp; AB23 &amp; "_lose")</f>
        <v>0</v>
      </c>
      <c r="AF23" s="58">
        <f>SUMIF($E$7:$E$54,$AB23,$F$7:$F$54) + SUMIF($H$7:$H$54,$AB23,$G$7:$G$54)</f>
        <v>2</v>
      </c>
      <c r="AG23" s="58">
        <f>SUMIF($E$7:$E$54,$AB23,$G$7:$G$54) + SUMIF($H$7:$H$54,$AB23,$F$7:$F$54)</f>
        <v>1</v>
      </c>
      <c r="AH23" s="58">
        <f>(AF23-AG23)*100+AK23*10000+AF23</f>
        <v>40102</v>
      </c>
      <c r="AI23" s="58">
        <f>AF23-AG23</f>
        <v>1</v>
      </c>
      <c r="AJ23" s="58">
        <f>(AI23-AI25)/AI24</f>
        <v>0.6</v>
      </c>
      <c r="AK23" s="58">
        <f>AC23*3+AD23</f>
        <v>4</v>
      </c>
      <c r="AL23" s="58">
        <f>AP23/AP24*1000+AQ23/AQ24*100+AT23/AT24*10+AR23/AR24</f>
        <v>0</v>
      </c>
      <c r="AM23" s="58">
        <f>VLOOKUP(AB23,db_fifarank,2,FALSE)/2000000</f>
        <v>5.4949999999999997E-4</v>
      </c>
      <c r="AN23" s="59">
        <f>1000*AK23/AK24+100*AJ23+10*AF23/AF24+1*AL23/AL24+AM23</f>
        <v>636.42912092857148</v>
      </c>
      <c r="AP23" s="61">
        <f>SUMPRODUCT(($S$7:$S$54=AB23&amp;"_win")*($U$7:$U$54))+SUMPRODUCT(($T$7:$T$54=AB23&amp;"_win")*($U$7:$U$54))</f>
        <v>0</v>
      </c>
      <c r="AQ23" s="62">
        <f>SUMPRODUCT(($S$7:$S$54=AB23&amp;"_draw")*($U$7:$U$54))+SUMPRODUCT(($T$7:$T$54=AB23&amp;"_draw")*($U$7:$U$54))</f>
        <v>0</v>
      </c>
      <c r="AR23" s="62">
        <f>SUMPRODUCT(($E$7:$E$54=AB23)*($U$7:$U$54)*($F$7:$F$54))+SUMPRODUCT(($H$7:$H$54=AB23)*($U$7:$U$54)*($G$7:$G$54))</f>
        <v>0</v>
      </c>
      <c r="AS23" s="62">
        <f>SUMPRODUCT(($E$7:$E$54=AB23)*($U$7:$U$54)*($G$7:$G$54))+SUMPRODUCT(($H$7:$H$54=AB23)*($U$7:$U$54)*($F$7:$F$54))</f>
        <v>0</v>
      </c>
      <c r="AT23" s="62">
        <f>AR23-AS23</f>
        <v>0</v>
      </c>
      <c r="AY23" s="119"/>
      <c r="AZ23" s="31" t="str">
        <f>AO51</f>
        <v>2H</v>
      </c>
      <c r="BA23" s="32"/>
      <c r="BB23" s="33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36"/>
      <c r="BP23" s="25"/>
      <c r="BQ23" s="118">
        <v>64</v>
      </c>
      <c r="BR23" s="28" t="str">
        <f>T76</f>
        <v>W61</v>
      </c>
      <c r="BS23" s="29"/>
      <c r="BT23" s="30"/>
    </row>
    <row r="24" spans="1:72" ht="15" customHeight="1" x14ac:dyDescent="0.3">
      <c r="A24" s="18">
        <v>18</v>
      </c>
      <c r="B24" s="19" t="str">
        <f t="shared" si="0"/>
        <v>Wed</v>
      </c>
      <c r="C24" s="20" t="str">
        <f t="shared" si="1"/>
        <v>Jun 20, 2018</v>
      </c>
      <c r="D24" s="21">
        <f t="shared" si="8"/>
        <v>0.625</v>
      </c>
      <c r="E24" s="22" t="str">
        <f>AB11</f>
        <v>Uruguay</v>
      </c>
      <c r="F24" s="23">
        <v>1</v>
      </c>
      <c r="G24" s="24">
        <v>0</v>
      </c>
      <c r="H24" s="67" t="str">
        <f>AB9</f>
        <v>Saudi Arabia</v>
      </c>
      <c r="J24" s="74" t="str">
        <f>VLOOKUP(4,AA20:AK23,2,FALSE)</f>
        <v>Peru</v>
      </c>
      <c r="K24" s="75">
        <f>L24+M24+N24</f>
        <v>2</v>
      </c>
      <c r="L24" s="75">
        <f>VLOOKUP(4,AA20:AK23,3,FALSE)</f>
        <v>0</v>
      </c>
      <c r="M24" s="75">
        <f>VLOOKUP(4,AA20:AK23,4,FALSE)</f>
        <v>0</v>
      </c>
      <c r="N24" s="75">
        <f>VLOOKUP(4,AA20:AK23,5,FALSE)</f>
        <v>2</v>
      </c>
      <c r="O24" s="75" t="str">
        <f>VLOOKUP(4,AA20:AK23,6,FALSE) &amp; " - " &amp; VLOOKUP(4,AA20:AK23,7,FALSE)</f>
        <v>0 - 2</v>
      </c>
      <c r="P24" s="76">
        <f>L24*3+M24</f>
        <v>0</v>
      </c>
      <c r="R24" s="58">
        <f>DATE(2018,6,20)+TIME(4,0,0)+gmt_delta</f>
        <v>43271.625</v>
      </c>
      <c r="S24" s="65" t="str">
        <f t="shared" si="2"/>
        <v>Uruguay_win</v>
      </c>
      <c r="T24" s="65" t="str">
        <f t="shared" si="3"/>
        <v>Saudi Arabia_lose</v>
      </c>
      <c r="U24" s="59">
        <f t="shared" si="4"/>
        <v>0</v>
      </c>
      <c r="V24" s="58">
        <f t="shared" si="5"/>
        <v>0</v>
      </c>
      <c r="W24" s="58">
        <f t="shared" si="6"/>
        <v>0</v>
      </c>
      <c r="X24" s="58">
        <f t="shared" si="7"/>
        <v>0</v>
      </c>
      <c r="Y24" s="58">
        <f t="shared" si="9"/>
        <v>1</v>
      </c>
      <c r="AC24" s="58">
        <f t="shared" ref="AC24:AL24" si="12">MAX(AC20:AC23)-MIN(AC20:AC23)+1</f>
        <v>3</v>
      </c>
      <c r="AD24" s="58">
        <f t="shared" si="12"/>
        <v>2</v>
      </c>
      <c r="AE24" s="58">
        <f t="shared" si="12"/>
        <v>3</v>
      </c>
      <c r="AF24" s="58">
        <f t="shared" si="12"/>
        <v>4</v>
      </c>
      <c r="AG24" s="58">
        <f t="shared" si="12"/>
        <v>3</v>
      </c>
      <c r="AH24" s="58">
        <f>MAX(AH20:AH23)-AH25+1</f>
        <v>60404</v>
      </c>
      <c r="AI24" s="58">
        <f>MAX(AI20:AI23)-AI25+1</f>
        <v>5</v>
      </c>
      <c r="AK24" s="58">
        <f t="shared" si="12"/>
        <v>7</v>
      </c>
      <c r="AL24" s="58">
        <f t="shared" si="12"/>
        <v>1</v>
      </c>
      <c r="AP24" s="58">
        <f>MAX(AP20:AP23)-MIN(AP20:AP23)+1</f>
        <v>1</v>
      </c>
      <c r="AQ24" s="58">
        <f>MAX(AQ20:AQ23)-MIN(AQ20:AQ23)+1</f>
        <v>1</v>
      </c>
      <c r="AR24" s="58">
        <f>MAX(AR20:AR23)-MIN(AR20:AR23)+1</f>
        <v>1</v>
      </c>
      <c r="AS24" s="58">
        <f>MAX(AS20:AS23)-MIN(AS20:AS23)+1</f>
        <v>1</v>
      </c>
      <c r="AT24" s="58">
        <f>MAX(AT20:AT23)-MIN(AT20:AT23)+1</f>
        <v>1</v>
      </c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36"/>
      <c r="BP24" s="39"/>
      <c r="BQ24" s="119"/>
      <c r="BR24" s="31" t="str">
        <f>T77</f>
        <v>W62</v>
      </c>
      <c r="BS24" s="32"/>
      <c r="BT24" s="33"/>
    </row>
    <row r="25" spans="1:72" ht="15" customHeight="1" x14ac:dyDescent="0.3">
      <c r="A25" s="18">
        <v>19</v>
      </c>
      <c r="B25" s="19" t="str">
        <f t="shared" si="0"/>
        <v>Wed</v>
      </c>
      <c r="C25" s="20" t="str">
        <f t="shared" si="1"/>
        <v>Jun 20, 2018</v>
      </c>
      <c r="D25" s="21">
        <f t="shared" si="8"/>
        <v>0.5</v>
      </c>
      <c r="E25" s="22" t="str">
        <f>AB14</f>
        <v>Portugal</v>
      </c>
      <c r="F25" s="23">
        <v>1</v>
      </c>
      <c r="G25" s="24">
        <v>0</v>
      </c>
      <c r="H25" s="67" t="str">
        <f>AB16</f>
        <v>Morocco</v>
      </c>
      <c r="J25" s="37"/>
      <c r="K25" s="38"/>
      <c r="L25" s="38"/>
      <c r="M25" s="38"/>
      <c r="N25" s="38"/>
      <c r="O25" s="38"/>
      <c r="P25" s="38"/>
      <c r="R25" s="58">
        <f>DATE(2018,6,20)+TIME(1,0,0)+gmt_delta</f>
        <v>43271.5</v>
      </c>
      <c r="S25" s="65" t="str">
        <f t="shared" si="2"/>
        <v>Portugal_win</v>
      </c>
      <c r="T25" s="65" t="str">
        <f t="shared" si="3"/>
        <v>Morocco_lose</v>
      </c>
      <c r="U25" s="59">
        <f t="shared" si="4"/>
        <v>0</v>
      </c>
      <c r="V25" s="58">
        <f t="shared" si="5"/>
        <v>0</v>
      </c>
      <c r="W25" s="58">
        <f t="shared" si="6"/>
        <v>0</v>
      </c>
      <c r="X25" s="58">
        <f t="shared" si="7"/>
        <v>0</v>
      </c>
      <c r="Y25" s="58">
        <f t="shared" si="9"/>
        <v>1</v>
      </c>
      <c r="AH25" s="58">
        <f>MIN(AH20:AH23)</f>
        <v>-200</v>
      </c>
      <c r="AI25" s="58">
        <f>MIN(AI20:AI23)</f>
        <v>-2</v>
      </c>
      <c r="AY25" s="25" t="str">
        <f>INDEX(T,24+MONTH(R60),lang) &amp; " " &amp; DAY(R60) &amp; ", " &amp; YEAR(R60) &amp; "   " &amp; (IF(HOUR(R60)&lt;10,0,"")&amp;HOUR(R60)) &amp; ":" &amp;  (IF(MINUTE(R60)&lt;10,0,"")&amp;MINUTE(R60))</f>
        <v>Jul 1, 2018   14:00</v>
      </c>
      <c r="AZ25" s="25"/>
      <c r="BA25" s="25"/>
      <c r="BB25" s="43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36"/>
      <c r="BP25" s="25"/>
      <c r="BQ25" s="25"/>
      <c r="BR25" s="25"/>
      <c r="BS25" s="25"/>
      <c r="BT25" s="25"/>
    </row>
    <row r="26" spans="1:72" ht="15" customHeight="1" x14ac:dyDescent="0.3">
      <c r="A26" s="18">
        <v>20</v>
      </c>
      <c r="B26" s="19" t="str">
        <f t="shared" si="0"/>
        <v>Wed</v>
      </c>
      <c r="C26" s="20" t="str">
        <f t="shared" si="1"/>
        <v>Jun 20, 2018</v>
      </c>
      <c r="D26" s="21">
        <f t="shared" si="8"/>
        <v>0.75</v>
      </c>
      <c r="E26" s="22" t="str">
        <f>AB17</f>
        <v>Iran</v>
      </c>
      <c r="F26" s="23">
        <v>0</v>
      </c>
      <c r="G26" s="24">
        <v>1</v>
      </c>
      <c r="H26" s="67" t="str">
        <f>AB15</f>
        <v>Spain</v>
      </c>
      <c r="J26" s="77" t="str">
        <f>INDEX(T,9,lang) &amp; " " &amp; "D"</f>
        <v>Group D</v>
      </c>
      <c r="K26" s="78" t="str">
        <f>INDEX(T,10,lang)</f>
        <v>PL</v>
      </c>
      <c r="L26" s="78" t="str">
        <f>INDEX(T,11,lang)</f>
        <v>W</v>
      </c>
      <c r="M26" s="78" t="str">
        <f>INDEX(T,12,lang)</f>
        <v>DRAW</v>
      </c>
      <c r="N26" s="78" t="str">
        <f>INDEX(T,13,lang)</f>
        <v>L</v>
      </c>
      <c r="O26" s="78" t="str">
        <f>INDEX(T,14,lang)</f>
        <v>GF - GA</v>
      </c>
      <c r="P26" s="79" t="str">
        <f>INDEX(T,15,lang)</f>
        <v>PNT</v>
      </c>
      <c r="R26" s="58">
        <f>DATE(2018,6,20)+TIME(7,0,0)+gmt_delta</f>
        <v>43271.75</v>
      </c>
      <c r="S26" s="65" t="str">
        <f t="shared" si="2"/>
        <v>Iran_lose</v>
      </c>
      <c r="T26" s="65" t="str">
        <f t="shared" si="3"/>
        <v>Spain_win</v>
      </c>
      <c r="U26" s="59">
        <f t="shared" si="4"/>
        <v>0</v>
      </c>
      <c r="V26" s="58">
        <f t="shared" si="5"/>
        <v>0</v>
      </c>
      <c r="W26" s="58">
        <f t="shared" si="6"/>
        <v>0</v>
      </c>
      <c r="X26" s="58">
        <f t="shared" si="7"/>
        <v>0</v>
      </c>
      <c r="Y26" s="58">
        <f t="shared" si="9"/>
        <v>-1</v>
      </c>
      <c r="AA26" s="58">
        <f>COUNTIF(AN26:AN29,CONCATENATE("&gt;=",AN26))</f>
        <v>4</v>
      </c>
      <c r="AB26" s="59" t="str">
        <f>VLOOKUP("Argentina",T,lang,FALSE)</f>
        <v>Argentina</v>
      </c>
      <c r="AC26" s="58">
        <f>COUNTIF($S$7:$T$54,"=" &amp; AB26 &amp; "_win")</f>
        <v>0</v>
      </c>
      <c r="AD26" s="58">
        <f>COUNTIF($S$7:$T$54,"=" &amp; AB26 &amp; "_draw")</f>
        <v>1</v>
      </c>
      <c r="AE26" s="58">
        <f>COUNTIF($S$7:$T$54,"=" &amp; AB26 &amp; "_lose")</f>
        <v>1</v>
      </c>
      <c r="AF26" s="58">
        <f>SUMIF($E$7:$E$54,$AB26,$F$7:$F$54) + SUMIF($H$7:$H$54,$AB26,$G$7:$G$54)</f>
        <v>1</v>
      </c>
      <c r="AG26" s="58">
        <f>SUMIF($E$7:$E$54,$AB26,$G$7:$G$54) + SUMIF($H$7:$H$54,$AB26,$F$7:$F$54)</f>
        <v>4</v>
      </c>
      <c r="AH26" s="58">
        <f>(AF26-AG26)*100+AK26*10000+AF26</f>
        <v>9701</v>
      </c>
      <c r="AI26" s="58">
        <f>AF26-AG26</f>
        <v>-3</v>
      </c>
      <c r="AJ26" s="58">
        <f>(AI26-AI31)/AI30</f>
        <v>0</v>
      </c>
      <c r="AK26" s="58">
        <f>AC26*3+AD26</f>
        <v>1</v>
      </c>
      <c r="AL26" s="58">
        <f>AP26/AP30*1000+AQ26/AQ30*100+AT26/AT30*10+AR26/AR30</f>
        <v>0</v>
      </c>
      <c r="AM26" s="58">
        <f>VLOOKUP(AB26,db_fifarank,2,FALSE)/2000000</f>
        <v>6.7400000000000001E-4</v>
      </c>
      <c r="AN26" s="59">
        <f>1000*AK26/AK30+100*AJ26+10*AF26/AF30+1*AL26/AL30+AM26</f>
        <v>168.66734066666666</v>
      </c>
      <c r="AO26" s="60" t="str">
        <f>IF(SUM(AC26:AE29)=12,J27,INDEX(T,76,lang))</f>
        <v>1D</v>
      </c>
      <c r="AP26" s="61">
        <f>SUMPRODUCT(($S$7:$S$54=AB26&amp;"_win")*($U$7:$U$54))+SUMPRODUCT(($T$7:$T$54=AB26&amp;"_win")*($U$7:$U$54))</f>
        <v>0</v>
      </c>
      <c r="AQ26" s="62">
        <f>SUMPRODUCT(($S$7:$S$54=AB26&amp;"_draw")*($U$7:$U$54))+SUMPRODUCT(($T$7:$T$54=AB26&amp;"_draw")*($U$7:$U$54))</f>
        <v>0</v>
      </c>
      <c r="AR26" s="62">
        <f>SUMPRODUCT(($E$7:$E$54=AB26)*($U$7:$U$54)*($F$7:$F$54))+SUMPRODUCT(($H$7:$H$54=AB26)*($U$7:$U$54)*($G$7:$G$54))</f>
        <v>0</v>
      </c>
      <c r="AS26" s="62">
        <f>SUMPRODUCT(($E$7:$E$54=AB26)*($U$7:$U$54)*($G$7:$G$54))+SUMPRODUCT(($H$7:$H$54=AB26)*($U$7:$U$54)*($F$7:$F$54))</f>
        <v>0</v>
      </c>
      <c r="AT26" s="62">
        <f>AR26-AS26</f>
        <v>0</v>
      </c>
      <c r="AY26" s="118">
        <v>51</v>
      </c>
      <c r="AZ26" s="28" t="str">
        <f>AO14</f>
        <v>1B</v>
      </c>
      <c r="BA26" s="29"/>
      <c r="BB26" s="30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36"/>
      <c r="BP26" s="25"/>
      <c r="BQ26" s="25"/>
      <c r="BR26" s="25"/>
      <c r="BS26" s="25"/>
      <c r="BT26" s="25"/>
    </row>
    <row r="27" spans="1:72" ht="15" customHeight="1" x14ac:dyDescent="0.3">
      <c r="A27" s="18">
        <v>21</v>
      </c>
      <c r="B27" s="19" t="str">
        <f t="shared" si="0"/>
        <v>Thu</v>
      </c>
      <c r="C27" s="20" t="str">
        <f t="shared" si="1"/>
        <v>Jun 21, 2018</v>
      </c>
      <c r="D27" s="21">
        <f t="shared" si="8"/>
        <v>0.625</v>
      </c>
      <c r="E27" s="22" t="str">
        <f>AB20</f>
        <v>France</v>
      </c>
      <c r="F27" s="23">
        <v>1</v>
      </c>
      <c r="G27" s="24">
        <v>0</v>
      </c>
      <c r="H27" s="67" t="str">
        <f>AB22</f>
        <v>Peru</v>
      </c>
      <c r="J27" s="69" t="str">
        <f>VLOOKUP(1,AA26:AK29,2,FALSE)</f>
        <v>Croatia</v>
      </c>
      <c r="K27" s="70">
        <f>L27+M27+N27</f>
        <v>2</v>
      </c>
      <c r="L27" s="70">
        <f>VLOOKUP(1,AA26:AK29,3,FALSE)</f>
        <v>2</v>
      </c>
      <c r="M27" s="70">
        <f>VLOOKUP(1,AA26:AK29,4,FALSE)</f>
        <v>0</v>
      </c>
      <c r="N27" s="70">
        <f>VLOOKUP(1,AA26:AK29,5,FALSE)</f>
        <v>0</v>
      </c>
      <c r="O27" s="70" t="str">
        <f>VLOOKUP(1,AA26:AK29,6,FALSE) &amp; " - " &amp; VLOOKUP(1,AA26:AK29,7,FALSE)</f>
        <v>5 - 0</v>
      </c>
      <c r="P27" s="71">
        <f>L27*3+M27</f>
        <v>6</v>
      </c>
      <c r="R27" s="58">
        <f>DATE(2018,6,21)+TIME(4,0,0)+gmt_delta</f>
        <v>43272.625</v>
      </c>
      <c r="S27" s="65" t="str">
        <f t="shared" si="2"/>
        <v>France_win</v>
      </c>
      <c r="T27" s="65" t="str">
        <f t="shared" si="3"/>
        <v>Peru_lose</v>
      </c>
      <c r="U27" s="59">
        <f t="shared" si="4"/>
        <v>0</v>
      </c>
      <c r="V27" s="58">
        <f t="shared" si="5"/>
        <v>0</v>
      </c>
      <c r="W27" s="58">
        <f t="shared" si="6"/>
        <v>0</v>
      </c>
      <c r="X27" s="58">
        <f t="shared" si="7"/>
        <v>0</v>
      </c>
      <c r="Y27" s="58">
        <f t="shared" si="9"/>
        <v>1</v>
      </c>
      <c r="AA27" s="58">
        <f>COUNTIF(AN26:AN29,CONCATENATE("&gt;=",AN27))</f>
        <v>3</v>
      </c>
      <c r="AB27" s="59" t="str">
        <f>VLOOKUP("Iceland",T,lang,FALSE)</f>
        <v>Iceland</v>
      </c>
      <c r="AC27" s="58">
        <f>COUNTIF($S$7:$T$54,"=" &amp; AB27 &amp; "_win")</f>
        <v>0</v>
      </c>
      <c r="AD27" s="58">
        <f>COUNTIF($S$7:$T$54,"=" &amp; AB27 &amp; "_draw")</f>
        <v>1</v>
      </c>
      <c r="AE27" s="58">
        <f>COUNTIF($S$7:$T$54,"=" &amp; AB27 &amp; "_lose")</f>
        <v>1</v>
      </c>
      <c r="AF27" s="58">
        <f>SUMIF($E$7:$E$54,$AB27,$F$7:$F$54) + SUMIF($H$7:$H$54,$AB27,$G$7:$G$54)</f>
        <v>1</v>
      </c>
      <c r="AG27" s="58">
        <f>SUMIF($E$7:$E$54,$AB27,$G$7:$G$54) + SUMIF($H$7:$H$54,$AB27,$F$7:$F$54)</f>
        <v>3</v>
      </c>
      <c r="AH27" s="58">
        <f>(AF27-AG27)*100+AK27*10000+AF27</f>
        <v>9801</v>
      </c>
      <c r="AI27" s="58">
        <f>AF27-AG27</f>
        <v>-2</v>
      </c>
      <c r="AJ27" s="58">
        <f>(AI27-AI31)/AI30</f>
        <v>0.1111111111111111</v>
      </c>
      <c r="AK27" s="58">
        <f>AC27*3+AD27</f>
        <v>1</v>
      </c>
      <c r="AL27" s="58">
        <f>AP27/AP30*1000+AQ27/AQ30*100+AT27/AT30*10+AR27/AR30</f>
        <v>0</v>
      </c>
      <c r="AM27" s="58">
        <f>VLOOKUP(AB27,db_fifarank,2,FALSE)/2000000</f>
        <v>4.55E-4</v>
      </c>
      <c r="AN27" s="59">
        <f>1000*AK27/AK30+100*AJ27+10*AF27/AF30+1*AL27/AL30+AM27</f>
        <v>179.77823277777776</v>
      </c>
      <c r="AO27" s="60" t="str">
        <f>IF(SUM(AC26:AE29)=12,J28,INDEX(T,77,lang))</f>
        <v>2D</v>
      </c>
      <c r="AP27" s="61">
        <f>SUMPRODUCT(($S$7:$S$54=AB27&amp;"_win")*($U$7:$U$54))+SUMPRODUCT(($T$7:$T$54=AB27&amp;"_win")*($U$7:$U$54))</f>
        <v>0</v>
      </c>
      <c r="AQ27" s="62">
        <f>SUMPRODUCT(($S$7:$S$54=AB27&amp;"_draw")*($U$7:$U$54))+SUMPRODUCT(($T$7:$T$54=AB27&amp;"_draw")*($U$7:$U$54))</f>
        <v>0</v>
      </c>
      <c r="AR27" s="62">
        <f>SUMPRODUCT(($E$7:$E$54=AB27)*($U$7:$U$54)*($F$7:$F$54))+SUMPRODUCT(($H$7:$H$54=AB27)*($U$7:$U$54)*($G$7:$G$54))</f>
        <v>0</v>
      </c>
      <c r="AS27" s="62">
        <f>SUMPRODUCT(($E$7:$E$54=AB27)*($U$7:$U$54)*($G$7:$G$54))+SUMPRODUCT(($H$7:$H$54=AB27)*($U$7:$U$54)*($F$7:$F$54))</f>
        <v>0</v>
      </c>
      <c r="AT27" s="62">
        <f>AR27-AS27</f>
        <v>0</v>
      </c>
      <c r="AY27" s="119"/>
      <c r="AZ27" s="31" t="str">
        <f>AO9</f>
        <v>2A</v>
      </c>
      <c r="BA27" s="32"/>
      <c r="BB27" s="33"/>
      <c r="BC27" s="34"/>
      <c r="BD27" s="25"/>
      <c r="BE27" s="25" t="str">
        <f>INDEX(T,24+MONTH(R71),lang) &amp; " " &amp; DAY(R71) &amp; ", " &amp; YEAR(R71) &amp; "   " &amp; (IF(HOUR(R71)&lt;10,0,"")&amp;HOUR(R71)) &amp; ":" &amp;  (IF(MINUTE(R71)&lt;10,0,"")&amp;MINUTE(R71))</f>
        <v>Jul 7, 2018   18:00</v>
      </c>
      <c r="BF27" s="25"/>
      <c r="BG27" s="25"/>
      <c r="BH27" s="35"/>
      <c r="BI27" s="25"/>
      <c r="BJ27" s="25"/>
      <c r="BK27" s="25"/>
      <c r="BL27" s="25"/>
      <c r="BM27" s="25"/>
      <c r="BN27" s="25"/>
      <c r="BO27" s="36"/>
      <c r="BP27" s="25"/>
      <c r="BQ27" s="25"/>
      <c r="BR27" s="25"/>
      <c r="BS27" s="25"/>
      <c r="BT27" s="25"/>
    </row>
    <row r="28" spans="1:72" ht="15" customHeight="1" x14ac:dyDescent="0.3">
      <c r="A28" s="18">
        <v>22</v>
      </c>
      <c r="B28" s="19" t="str">
        <f t="shared" si="0"/>
        <v>Thu</v>
      </c>
      <c r="C28" s="20" t="str">
        <f t="shared" si="1"/>
        <v>Jun 21, 2018</v>
      </c>
      <c r="D28" s="21">
        <f t="shared" si="8"/>
        <v>0.5</v>
      </c>
      <c r="E28" s="22" t="str">
        <f>AB23</f>
        <v>Denmark</v>
      </c>
      <c r="F28" s="23">
        <v>1</v>
      </c>
      <c r="G28" s="24">
        <v>1</v>
      </c>
      <c r="H28" s="67" t="str">
        <f>AB21</f>
        <v>Australia</v>
      </c>
      <c r="J28" s="72" t="str">
        <f>VLOOKUP(2,AA26:AK29,2,FALSE)</f>
        <v>Nigeria</v>
      </c>
      <c r="K28" s="27">
        <f>L28+M28+N28</f>
        <v>2</v>
      </c>
      <c r="L28" s="27">
        <f>VLOOKUP(2,AA26:AK29,3,FALSE)</f>
        <v>1</v>
      </c>
      <c r="M28" s="27">
        <f>VLOOKUP(2,AA26:AK29,4,FALSE)</f>
        <v>0</v>
      </c>
      <c r="N28" s="27">
        <f>VLOOKUP(2,AA26:AK29,5,FALSE)</f>
        <v>1</v>
      </c>
      <c r="O28" s="27" t="str">
        <f>VLOOKUP(2,AA26:AK29,6,FALSE) &amp; " - " &amp; VLOOKUP(2,AA26:AK29,7,FALSE)</f>
        <v>2 - 2</v>
      </c>
      <c r="P28" s="73">
        <f>L28*3+M28</f>
        <v>3</v>
      </c>
      <c r="R28" s="58">
        <f>DATE(2018,6,21)+TIME(1,0,0)+gmt_delta</f>
        <v>43272.5</v>
      </c>
      <c r="S28" s="65" t="str">
        <f t="shared" si="2"/>
        <v>Denmark_draw</v>
      </c>
      <c r="T28" s="65" t="str">
        <f t="shared" si="3"/>
        <v>Australia_draw</v>
      </c>
      <c r="U28" s="59">
        <f t="shared" si="4"/>
        <v>0</v>
      </c>
      <c r="V28" s="58">
        <f t="shared" si="5"/>
        <v>0</v>
      </c>
      <c r="W28" s="58">
        <f t="shared" si="6"/>
        <v>0</v>
      </c>
      <c r="X28" s="58">
        <f t="shared" si="7"/>
        <v>0</v>
      </c>
      <c r="Y28" s="58">
        <f t="shared" si="9"/>
        <v>0</v>
      </c>
      <c r="AA28" s="58">
        <f>COUNTIF(AN26:AN29,CONCATENATE("&gt;=",AN28))</f>
        <v>1</v>
      </c>
      <c r="AB28" s="59" t="str">
        <f>VLOOKUP("Croatia",T,lang,FALSE)</f>
        <v>Croatia</v>
      </c>
      <c r="AC28" s="58">
        <f>COUNTIF($S$7:$T$54,"=" &amp; AB28 &amp; "_win")</f>
        <v>2</v>
      </c>
      <c r="AD28" s="58">
        <f>COUNTIF($S$7:$T$54,"=" &amp; AB28 &amp; "_draw")</f>
        <v>0</v>
      </c>
      <c r="AE28" s="58">
        <f>COUNTIF($S$7:$T$54,"=" &amp; AB28 &amp; "_lose")</f>
        <v>0</v>
      </c>
      <c r="AF28" s="58">
        <f>SUMIF($E$7:$E$54,$AB28,$F$7:$F$54) + SUMIF($H$7:$H$54,$AB28,$G$7:$G$54)</f>
        <v>5</v>
      </c>
      <c r="AG28" s="58">
        <f>SUMIF($E$7:$E$54,$AB28,$G$7:$G$54) + SUMIF($H$7:$H$54,$AB28,$F$7:$F$54)</f>
        <v>0</v>
      </c>
      <c r="AH28" s="58">
        <f>(AF28-AG28)*100+AK28*10000+AF28</f>
        <v>60505</v>
      </c>
      <c r="AI28" s="58">
        <f>AF28-AG28</f>
        <v>5</v>
      </c>
      <c r="AJ28" s="58">
        <f>(AI28-AI31)/AI30</f>
        <v>0.88888888888888884</v>
      </c>
      <c r="AK28" s="58">
        <f>AC28*3+AD28</f>
        <v>6</v>
      </c>
      <c r="AL28" s="58">
        <f>AP28/AP30*1000+AQ28/AQ30*100+AT28/AT30*10+AR28/AR30</f>
        <v>0</v>
      </c>
      <c r="AM28" s="58">
        <f>VLOOKUP(AB28,db_fifarank,2,FALSE)/2000000</f>
        <v>5.0900000000000001E-4</v>
      </c>
      <c r="AN28" s="59">
        <f>1000*AK28/AK30+100*AJ28+10*AF28/AF30+1*AL28/AL30+AM28</f>
        <v>1098.8893978888889</v>
      </c>
      <c r="AP28" s="61">
        <f>SUMPRODUCT(($S$7:$S$54=AB28&amp;"_win")*($U$7:$U$54))+SUMPRODUCT(($T$7:$T$54=AB28&amp;"_win")*($U$7:$U$54))</f>
        <v>0</v>
      </c>
      <c r="AQ28" s="62">
        <f>SUMPRODUCT(($S$7:$S$54=AB28&amp;"_draw")*($U$7:$U$54))+SUMPRODUCT(($T$7:$T$54=AB28&amp;"_draw")*($U$7:$U$54))</f>
        <v>0</v>
      </c>
      <c r="AR28" s="62">
        <f>SUMPRODUCT(($E$7:$E$54=AB28)*($U$7:$U$54)*($F$7:$F$54))+SUMPRODUCT(($H$7:$H$54=AB28)*($U$7:$U$54)*($G$7:$G$54))</f>
        <v>0</v>
      </c>
      <c r="AS28" s="62">
        <f>SUMPRODUCT(($E$7:$E$54=AB28)*($U$7:$U$54)*($G$7:$G$54))+SUMPRODUCT(($H$7:$H$54=AB28)*($U$7:$U$54)*($F$7:$F$54))</f>
        <v>0</v>
      </c>
      <c r="AT28" s="62">
        <f>AR28-AS28</f>
        <v>0</v>
      </c>
      <c r="AY28" s="25"/>
      <c r="AZ28" s="25"/>
      <c r="BA28" s="25"/>
      <c r="BB28" s="25"/>
      <c r="BC28" s="36"/>
      <c r="BD28" s="25"/>
      <c r="BE28" s="118">
        <v>59</v>
      </c>
      <c r="BF28" s="28" t="str">
        <f>T60</f>
        <v>W51</v>
      </c>
      <c r="BG28" s="29"/>
      <c r="BH28" s="30"/>
      <c r="BI28" s="25"/>
      <c r="BJ28" s="25"/>
      <c r="BK28" s="25"/>
      <c r="BL28" s="25"/>
      <c r="BM28" s="25"/>
      <c r="BN28" s="25"/>
      <c r="BO28" s="36"/>
      <c r="BP28" s="25"/>
      <c r="BQ28" s="25"/>
      <c r="BR28" s="25"/>
      <c r="BS28" s="25"/>
      <c r="BT28" s="25"/>
    </row>
    <row r="29" spans="1:72" ht="15" customHeight="1" x14ac:dyDescent="0.3">
      <c r="A29" s="18">
        <v>23</v>
      </c>
      <c r="B29" s="19" t="str">
        <f t="shared" si="0"/>
        <v>Thu</v>
      </c>
      <c r="C29" s="20" t="str">
        <f t="shared" si="1"/>
        <v>Jun 21, 2018</v>
      </c>
      <c r="D29" s="21">
        <f t="shared" si="8"/>
        <v>0.75</v>
      </c>
      <c r="E29" s="22" t="str">
        <f>AB26</f>
        <v>Argentina</v>
      </c>
      <c r="F29" s="23">
        <v>0</v>
      </c>
      <c r="G29" s="24">
        <v>3</v>
      </c>
      <c r="H29" s="67" t="str">
        <f>AB28</f>
        <v>Croatia</v>
      </c>
      <c r="J29" s="72" t="str">
        <f>VLOOKUP(3,AA26:AK29,2,FALSE)</f>
        <v>Iceland</v>
      </c>
      <c r="K29" s="27">
        <f>L29+M29+N29</f>
        <v>2</v>
      </c>
      <c r="L29" s="27">
        <f>VLOOKUP(3,AA26:AK29,3,FALSE)</f>
        <v>0</v>
      </c>
      <c r="M29" s="27">
        <f>VLOOKUP(3,AA26:AK29,4,FALSE)</f>
        <v>1</v>
      </c>
      <c r="N29" s="27">
        <f>VLOOKUP(3,AA26:AK29,5,FALSE)</f>
        <v>1</v>
      </c>
      <c r="O29" s="27" t="str">
        <f>VLOOKUP(3,AA26:AK29,6,FALSE) &amp; " - " &amp; VLOOKUP(3,AA26:AK29,7,FALSE)</f>
        <v>1 - 3</v>
      </c>
      <c r="P29" s="73">
        <f>L29*3+M29</f>
        <v>1</v>
      </c>
      <c r="R29" s="58">
        <f>DATE(2018,6,21)+TIME(7,0,0)+gmt_delta</f>
        <v>43272.75</v>
      </c>
      <c r="S29" s="65" t="str">
        <f t="shared" si="2"/>
        <v>Argentina_lose</v>
      </c>
      <c r="T29" s="65" t="str">
        <f t="shared" si="3"/>
        <v>Croatia_win</v>
      </c>
      <c r="U29" s="59">
        <f t="shared" si="4"/>
        <v>0</v>
      </c>
      <c r="V29" s="58">
        <f t="shared" si="5"/>
        <v>0</v>
      </c>
      <c r="W29" s="58">
        <f t="shared" si="6"/>
        <v>0</v>
      </c>
      <c r="X29" s="58">
        <f t="shared" si="7"/>
        <v>1</v>
      </c>
      <c r="Y29" s="58">
        <f t="shared" si="9"/>
        <v>-1</v>
      </c>
      <c r="AA29" s="58">
        <f>COUNTIF(AN26:AN29,CONCATENATE("&gt;=",AN29))</f>
        <v>2</v>
      </c>
      <c r="AB29" s="59" t="str">
        <f>VLOOKUP("Nigeria",T,lang,FALSE)</f>
        <v>Nigeria</v>
      </c>
      <c r="AC29" s="58">
        <f>COUNTIF($S$7:$T$54,"=" &amp; AB29 &amp; "_win")</f>
        <v>1</v>
      </c>
      <c r="AD29" s="58">
        <f>COUNTIF($S$7:$T$54,"=" &amp; AB29 &amp; "_draw")</f>
        <v>0</v>
      </c>
      <c r="AE29" s="58">
        <f>COUNTIF($S$7:$T$54,"=" &amp; AB29 &amp; "_lose")</f>
        <v>1</v>
      </c>
      <c r="AF29" s="58">
        <f>SUMIF($E$7:$E$54,$AB29,$F$7:$F$54) + SUMIF($H$7:$H$54,$AB29,$G$7:$G$54)</f>
        <v>2</v>
      </c>
      <c r="AG29" s="58">
        <f>SUMIF($E$7:$E$54,$AB29,$G$7:$G$54) + SUMIF($H$7:$H$54,$AB29,$F$7:$F$54)</f>
        <v>2</v>
      </c>
      <c r="AH29" s="58">
        <f>(AF29-AG29)*100+AK29*10000+AF29</f>
        <v>30002</v>
      </c>
      <c r="AI29" s="58">
        <f>AF29-AG29</f>
        <v>0</v>
      </c>
      <c r="AJ29" s="58">
        <f>(AI29-AI31)/AI30</f>
        <v>0.33333333333333331</v>
      </c>
      <c r="AK29" s="58">
        <f>AC29*3+AD29</f>
        <v>3</v>
      </c>
      <c r="AL29" s="58">
        <f>AP29/AP30*1000+AQ29/AQ30*100+AT29/AT30*10+AR29/AR30</f>
        <v>0</v>
      </c>
      <c r="AM29" s="58">
        <f>VLOOKUP(AB29,db_fifarank,2,FALSE)/2000000</f>
        <v>3.2000000000000003E-4</v>
      </c>
      <c r="AN29" s="59">
        <f>1000*AK29/AK30+100*AJ29+10*AF29/AF30+1*AL29/AL30+AM29</f>
        <v>537.33365333333336</v>
      </c>
      <c r="AP29" s="61">
        <f>SUMPRODUCT(($S$7:$S$54=AB29&amp;"_win")*($U$7:$U$54))+SUMPRODUCT(($T$7:$T$54=AB29&amp;"_win")*($U$7:$U$54))</f>
        <v>0</v>
      </c>
      <c r="AQ29" s="62">
        <f>SUMPRODUCT(($S$7:$S$54=AB29&amp;"_draw")*($U$7:$U$54))+SUMPRODUCT(($T$7:$T$54=AB29&amp;"_draw")*($U$7:$U$54))</f>
        <v>0</v>
      </c>
      <c r="AR29" s="62">
        <f>SUMPRODUCT(($E$7:$E$54=AB29)*($U$7:$U$54)*($F$7:$F$54))+SUMPRODUCT(($H$7:$H$54=AB29)*($U$7:$U$54)*($G$7:$G$54))</f>
        <v>0</v>
      </c>
      <c r="AS29" s="62">
        <f>SUMPRODUCT(($E$7:$E$54=AB29)*($U$7:$U$54)*($G$7:$G$54))+SUMPRODUCT(($H$7:$H$54=AB29)*($U$7:$U$54)*($F$7:$F$54))</f>
        <v>0</v>
      </c>
      <c r="AT29" s="62">
        <f>AR29-AS29</f>
        <v>0</v>
      </c>
      <c r="AY29" s="25" t="str">
        <f>INDEX(T,24+MONTH(R61),lang) &amp; " " &amp; DAY(R61) &amp; ", " &amp; YEAR(R61) &amp; "   " &amp;  (IF(HOUR(R61)&lt;10,0,"")&amp;HOUR(R61)) &amp; ":" &amp;  (IF(MINUTE(R61)&lt;10,0,"")&amp;MINUTE(R61))</f>
        <v>Jul 1, 2018   18:00</v>
      </c>
      <c r="AZ29" s="25"/>
      <c r="BA29" s="25"/>
      <c r="BB29" s="35"/>
      <c r="BC29" s="36"/>
      <c r="BD29" s="39"/>
      <c r="BE29" s="119"/>
      <c r="BF29" s="31" t="str">
        <f>T61</f>
        <v>W52</v>
      </c>
      <c r="BG29" s="32"/>
      <c r="BH29" s="33"/>
      <c r="BI29" s="34"/>
      <c r="BJ29" s="25"/>
      <c r="BK29" s="25"/>
      <c r="BL29" s="25"/>
      <c r="BM29" s="25"/>
      <c r="BN29" s="25"/>
      <c r="BO29" s="36"/>
      <c r="BP29" s="25"/>
      <c r="BQ29" s="25"/>
      <c r="BR29" s="25"/>
      <c r="BS29" s="25"/>
      <c r="BT29" s="25"/>
    </row>
    <row r="30" spans="1:72" ht="15" customHeight="1" x14ac:dyDescent="0.3">
      <c r="A30" s="18">
        <v>24</v>
      </c>
      <c r="B30" s="19" t="str">
        <f t="shared" si="0"/>
        <v>Fri</v>
      </c>
      <c r="C30" s="20" t="str">
        <f t="shared" si="1"/>
        <v>Jun 22, 2018</v>
      </c>
      <c r="D30" s="21">
        <f t="shared" si="8"/>
        <v>0.625</v>
      </c>
      <c r="E30" s="22" t="str">
        <f>AB29</f>
        <v>Nigeria</v>
      </c>
      <c r="F30" s="23">
        <v>2</v>
      </c>
      <c r="G30" s="24">
        <v>0</v>
      </c>
      <c r="H30" s="67" t="str">
        <f>AB27</f>
        <v>Iceland</v>
      </c>
      <c r="J30" s="74" t="str">
        <f>VLOOKUP(4,AA26:AK29,2,FALSE)</f>
        <v>Argentina</v>
      </c>
      <c r="K30" s="75">
        <f>L30+M30+N30</f>
        <v>2</v>
      </c>
      <c r="L30" s="75">
        <f>VLOOKUP(4,AA26:AK29,3,FALSE)</f>
        <v>0</v>
      </c>
      <c r="M30" s="75">
        <f>VLOOKUP(4,AA26:AK29,4,FALSE)</f>
        <v>1</v>
      </c>
      <c r="N30" s="75">
        <f>VLOOKUP(4,AA26:AK29,5,FALSE)</f>
        <v>1</v>
      </c>
      <c r="O30" s="75" t="str">
        <f>VLOOKUP(4,AA26:AK29,6,FALSE) &amp; " - " &amp; VLOOKUP(4,AA26:AK29,7,FALSE)</f>
        <v>1 - 4</v>
      </c>
      <c r="P30" s="76">
        <f>L30*3+M30</f>
        <v>1</v>
      </c>
      <c r="R30" s="58">
        <f>DATE(2018,6,22)+TIME(4,0,0)+gmt_delta</f>
        <v>43273.625</v>
      </c>
      <c r="S30" s="65" t="str">
        <f t="shared" si="2"/>
        <v>Nigeria_win</v>
      </c>
      <c r="T30" s="65" t="str">
        <f t="shared" si="3"/>
        <v>Iceland_lose</v>
      </c>
      <c r="U30" s="59">
        <f t="shared" si="4"/>
        <v>0</v>
      </c>
      <c r="V30" s="58">
        <f t="shared" si="5"/>
        <v>0</v>
      </c>
      <c r="W30" s="58">
        <f t="shared" si="6"/>
        <v>0</v>
      </c>
      <c r="X30" s="58">
        <f t="shared" si="7"/>
        <v>0</v>
      </c>
      <c r="Y30" s="58">
        <f t="shared" si="9"/>
        <v>1</v>
      </c>
      <c r="AC30" s="58">
        <f t="shared" ref="AC30:AL30" si="13">MAX(AC26:AC29)-MIN(AC26:AC29)+1</f>
        <v>3</v>
      </c>
      <c r="AD30" s="58">
        <f t="shared" si="13"/>
        <v>2</v>
      </c>
      <c r="AE30" s="58">
        <f t="shared" si="13"/>
        <v>2</v>
      </c>
      <c r="AF30" s="58">
        <f t="shared" si="13"/>
        <v>5</v>
      </c>
      <c r="AG30" s="58">
        <f t="shared" si="13"/>
        <v>5</v>
      </c>
      <c r="AH30" s="58">
        <f>MAX(AH26:AH29)-AH31+1</f>
        <v>50805</v>
      </c>
      <c r="AI30" s="58">
        <f>MAX(AI26:AI29)-AI31+1</f>
        <v>9</v>
      </c>
      <c r="AK30" s="58">
        <f t="shared" si="13"/>
        <v>6</v>
      </c>
      <c r="AL30" s="58">
        <f t="shared" si="13"/>
        <v>1</v>
      </c>
      <c r="AP30" s="58">
        <f>MAX(AP26:AP29)-MIN(AP26:AP29)+1</f>
        <v>1</v>
      </c>
      <c r="AQ30" s="58">
        <f>MAX(AQ26:AQ29)-MIN(AQ26:AQ29)+1</f>
        <v>1</v>
      </c>
      <c r="AR30" s="58">
        <f>MAX(AR26:AR29)-MIN(AR26:AR29)+1</f>
        <v>1</v>
      </c>
      <c r="AS30" s="58">
        <f>MAX(AS26:AS29)-MIN(AS26:AS29)+1</f>
        <v>1</v>
      </c>
      <c r="AT30" s="58">
        <f>MAX(AT26:AT29)-MIN(AT26:AT29)+1</f>
        <v>1</v>
      </c>
      <c r="AY30" s="118">
        <v>52</v>
      </c>
      <c r="AZ30" s="28" t="str">
        <f>AO26</f>
        <v>1D</v>
      </c>
      <c r="BA30" s="29"/>
      <c r="BB30" s="30"/>
      <c r="BC30" s="40"/>
      <c r="BD30" s="25"/>
      <c r="BE30" s="25"/>
      <c r="BF30" s="25"/>
      <c r="BG30" s="25"/>
      <c r="BH30" s="25"/>
      <c r="BI30" s="36"/>
      <c r="BJ30" s="25"/>
      <c r="BK30" s="25"/>
      <c r="BL30" s="25"/>
      <c r="BM30" s="25"/>
      <c r="BN30" s="25"/>
      <c r="BO30" s="36"/>
      <c r="BP30" s="25"/>
      <c r="BQ30" s="25"/>
      <c r="BR30" s="25"/>
      <c r="BS30" s="25"/>
      <c r="BT30" s="25"/>
    </row>
    <row r="31" spans="1:72" ht="15" customHeight="1" x14ac:dyDescent="0.3">
      <c r="A31" s="18">
        <v>25</v>
      </c>
      <c r="B31" s="19" t="str">
        <f t="shared" si="0"/>
        <v>Fri</v>
      </c>
      <c r="C31" s="20" t="str">
        <f t="shared" si="1"/>
        <v>Jun 22, 2018</v>
      </c>
      <c r="D31" s="21">
        <f t="shared" si="8"/>
        <v>0.5</v>
      </c>
      <c r="E31" s="22" t="str">
        <f>AB32</f>
        <v>Brazil</v>
      </c>
      <c r="F31" s="23">
        <v>2</v>
      </c>
      <c r="G31" s="24">
        <v>0</v>
      </c>
      <c r="H31" s="67" t="str">
        <f>AB34</f>
        <v>Costa Rica</v>
      </c>
      <c r="R31" s="58">
        <f>DATE(2018,6,22)+TIME(1,0,0)+gmt_delta</f>
        <v>43273.5</v>
      </c>
      <c r="S31" s="65" t="str">
        <f t="shared" si="2"/>
        <v>Brazil_win</v>
      </c>
      <c r="T31" s="65" t="str">
        <f t="shared" si="3"/>
        <v>Costa Rica_lose</v>
      </c>
      <c r="U31" s="59">
        <f t="shared" si="4"/>
        <v>0</v>
      </c>
      <c r="V31" s="58">
        <f t="shared" si="5"/>
        <v>0</v>
      </c>
      <c r="W31" s="58">
        <f t="shared" si="6"/>
        <v>0</v>
      </c>
      <c r="X31" s="58">
        <f t="shared" si="7"/>
        <v>0</v>
      </c>
      <c r="Y31" s="58">
        <f t="shared" si="9"/>
        <v>1</v>
      </c>
      <c r="AH31" s="58">
        <f>MIN(AH26:AH29)</f>
        <v>9701</v>
      </c>
      <c r="AI31" s="58">
        <f>MIN(AI26:AI29)</f>
        <v>-3</v>
      </c>
      <c r="AY31" s="119"/>
      <c r="AZ31" s="31" t="str">
        <f>AO21</f>
        <v>2C</v>
      </c>
      <c r="BA31" s="32"/>
      <c r="BB31" s="33"/>
      <c r="BC31" s="25"/>
      <c r="BD31" s="25"/>
      <c r="BE31" s="25"/>
      <c r="BF31" s="25"/>
      <c r="BG31" s="25"/>
      <c r="BH31" s="25"/>
      <c r="BI31" s="36"/>
      <c r="BJ31" s="25"/>
      <c r="BK31" s="25" t="str">
        <f>INDEX(T,24+MONTH(R77),lang) &amp; " " &amp; DAY(R77) &amp; ", " &amp; YEAR(R77) &amp; "   " &amp; (IF(HOUR(R77)&lt;10,0,"")&amp;HOUR(R77)) &amp; ":" &amp;  (IF(MINUTE(R77)&lt;10,0,"")&amp;MINUTE(R77))</f>
        <v>Jul 11, 2018   18:00</v>
      </c>
      <c r="BL31" s="25"/>
      <c r="BM31" s="25"/>
      <c r="BN31" s="35"/>
      <c r="BO31" s="36"/>
      <c r="BP31" s="41"/>
      <c r="BQ31" s="124" t="str">
        <f>INDEX(T,7,lang)</f>
        <v>Third-Place Play-Off</v>
      </c>
      <c r="BR31" s="125"/>
      <c r="BS31" s="125"/>
      <c r="BT31" s="126"/>
    </row>
    <row r="32" spans="1:72" ht="15" customHeight="1" x14ac:dyDescent="0.3">
      <c r="A32" s="18">
        <v>26</v>
      </c>
      <c r="B32" s="19" t="str">
        <f t="shared" si="0"/>
        <v>Fri</v>
      </c>
      <c r="C32" s="20" t="str">
        <f t="shared" si="1"/>
        <v>Jun 22, 2018</v>
      </c>
      <c r="D32" s="21">
        <f t="shared" si="8"/>
        <v>0.75</v>
      </c>
      <c r="E32" s="22" t="str">
        <f>AB35</f>
        <v>Serbia</v>
      </c>
      <c r="F32" s="23">
        <v>1</v>
      </c>
      <c r="G32" s="24">
        <v>2</v>
      </c>
      <c r="H32" s="67" t="str">
        <f>AB33</f>
        <v>Switzerland</v>
      </c>
      <c r="J32" s="77" t="str">
        <f>INDEX(T,9,lang) &amp; " " &amp; "E"</f>
        <v>Group E</v>
      </c>
      <c r="K32" s="78" t="str">
        <f>INDEX(T,10,lang)</f>
        <v>PL</v>
      </c>
      <c r="L32" s="78" t="str">
        <f>INDEX(T,11,lang)</f>
        <v>W</v>
      </c>
      <c r="M32" s="78" t="str">
        <f>INDEX(T,12,lang)</f>
        <v>DRAW</v>
      </c>
      <c r="N32" s="78" t="str">
        <f>INDEX(T,13,lang)</f>
        <v>L</v>
      </c>
      <c r="O32" s="78" t="str">
        <f>INDEX(T,14,lang)</f>
        <v>GF - GA</v>
      </c>
      <c r="P32" s="79" t="str">
        <f>INDEX(T,15,lang)</f>
        <v>PNT</v>
      </c>
      <c r="R32" s="58">
        <f>DATE(2018,6,22)+TIME(7,0,0)+gmt_delta</f>
        <v>43273.75</v>
      </c>
      <c r="S32" s="65" t="str">
        <f t="shared" si="2"/>
        <v>Serbia_lose</v>
      </c>
      <c r="T32" s="65" t="str">
        <f t="shared" si="3"/>
        <v>Switzerland_win</v>
      </c>
      <c r="U32" s="59">
        <f t="shared" si="4"/>
        <v>0</v>
      </c>
      <c r="V32" s="58">
        <f t="shared" si="5"/>
        <v>0</v>
      </c>
      <c r="W32" s="58">
        <f t="shared" si="6"/>
        <v>0</v>
      </c>
      <c r="X32" s="58">
        <f t="shared" si="7"/>
        <v>0</v>
      </c>
      <c r="Y32" s="58">
        <f t="shared" si="9"/>
        <v>-1</v>
      </c>
      <c r="AA32" s="58">
        <f>COUNTIF(AN32:AN35,CONCATENATE("&gt;=",AN32))</f>
        <v>1</v>
      </c>
      <c r="AB32" s="59" t="str">
        <f>VLOOKUP("Brazil",T,lang,FALSE)</f>
        <v>Brazil</v>
      </c>
      <c r="AC32" s="58">
        <f>COUNTIF($S$7:$T$54,"=" &amp; AB32 &amp; "_win")</f>
        <v>1</v>
      </c>
      <c r="AD32" s="58">
        <f>COUNTIF($S$7:$T$54,"=" &amp; AB32 &amp; "_draw")</f>
        <v>1</v>
      </c>
      <c r="AE32" s="58">
        <f>COUNTIF($S$7:$T$54,"=" &amp; AB32 &amp; "_lose")</f>
        <v>0</v>
      </c>
      <c r="AF32" s="58">
        <f>SUMIF($E$7:$E$54,$AB32,$F$7:$F$54) + SUMIF($H$7:$H$54,$AB32,$G$7:$G$54)</f>
        <v>3</v>
      </c>
      <c r="AG32" s="58">
        <f>SUMIF($E$7:$E$54,$AB32,$G$7:$G$54) + SUMIF($H$7:$H$54,$AB32,$F$7:$F$54)</f>
        <v>1</v>
      </c>
      <c r="AH32" s="58">
        <f>(AF32-AG32)*100+AK32*10000+AF32</f>
        <v>40203</v>
      </c>
      <c r="AI32" s="58">
        <f>AF32-AG32</f>
        <v>2</v>
      </c>
      <c r="AJ32" s="58">
        <f>(AI32-AI37)/AI36</f>
        <v>0.83333333333333337</v>
      </c>
      <c r="AK32" s="58">
        <f>AC32*3+AD32</f>
        <v>4</v>
      </c>
      <c r="AL32" s="58">
        <f>AP32/AP36*1000+AQ32/AQ36*100+AT32/AT36*10+AR32/AR36</f>
        <v>0</v>
      </c>
      <c r="AM32" s="58">
        <f>VLOOKUP(AB32,db_fifarank,2,FALSE)/2000000</f>
        <v>7.4149999999999997E-4</v>
      </c>
      <c r="AN32" s="59">
        <f>1000*AK32/AK36+100*AJ32+10*AF32/AF36+1*AL32/AL36+AM32</f>
        <v>890.83407483333337</v>
      </c>
      <c r="AO32" s="60" t="str">
        <f>IF(SUM(AC32:AE35)=12,J33,INDEX(T,78,lang))</f>
        <v>1E</v>
      </c>
      <c r="AP32" s="61">
        <f>SUMPRODUCT(($S$7:$S$54=AB32&amp;"_win")*($U$7:$U$54))+SUMPRODUCT(($T$7:$T$54=AB32&amp;"_win")*($U$7:$U$54))</f>
        <v>0</v>
      </c>
      <c r="AQ32" s="62">
        <f>SUMPRODUCT(($S$7:$S$54=AB32&amp;"_draw")*($U$7:$U$54))+SUMPRODUCT(($T$7:$T$54=AB32&amp;"_draw")*($U$7:$U$54))</f>
        <v>0</v>
      </c>
      <c r="AR32" s="62">
        <f>SUMPRODUCT(($E$7:$E$54=AB32)*($U$7:$U$54)*($F$7:$F$54))+SUMPRODUCT(($H$7:$H$54=AB32)*($U$7:$U$54)*($G$7:$G$54))</f>
        <v>0</v>
      </c>
      <c r="AS32" s="62">
        <f>SUMPRODUCT(($E$7:$E$54=AB32)*($U$7:$U$54)*($G$7:$G$54))+SUMPRODUCT(($H$7:$H$54=AB32)*($U$7:$U$54)*($F$7:$F$54))</f>
        <v>0</v>
      </c>
      <c r="AT32" s="62">
        <f>AR32-AS32</f>
        <v>0</v>
      </c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36"/>
      <c r="BJ32" s="25"/>
      <c r="BK32" s="118">
        <v>62</v>
      </c>
      <c r="BL32" s="28" t="str">
        <f>T71</f>
        <v>W59</v>
      </c>
      <c r="BM32" s="29"/>
      <c r="BN32" s="30"/>
      <c r="BO32" s="40"/>
      <c r="BP32" s="41"/>
      <c r="BQ32" s="127"/>
      <c r="BR32" s="128"/>
      <c r="BS32" s="128"/>
      <c r="BT32" s="129"/>
    </row>
    <row r="33" spans="1:72" ht="15" customHeight="1" x14ac:dyDescent="0.3">
      <c r="A33" s="18">
        <v>27</v>
      </c>
      <c r="B33" s="19" t="str">
        <f t="shared" si="0"/>
        <v>Sat</v>
      </c>
      <c r="C33" s="20" t="str">
        <f t="shared" si="1"/>
        <v>Jun 23, 2018</v>
      </c>
      <c r="D33" s="21">
        <f t="shared" si="8"/>
        <v>0.75</v>
      </c>
      <c r="E33" s="22" t="str">
        <f>AB38</f>
        <v>Germany</v>
      </c>
      <c r="F33" s="23">
        <v>2</v>
      </c>
      <c r="G33" s="24">
        <v>1</v>
      </c>
      <c r="H33" s="67" t="str">
        <f>AB40</f>
        <v>Sweden</v>
      </c>
      <c r="J33" s="69" t="str">
        <f>VLOOKUP(1,AA32:AK35,2,FALSE)</f>
        <v>Brazil</v>
      </c>
      <c r="K33" s="70">
        <f>L33+M33+N33</f>
        <v>2</v>
      </c>
      <c r="L33" s="70">
        <f>VLOOKUP(1,AA32:AK35,3,FALSE)</f>
        <v>1</v>
      </c>
      <c r="M33" s="70">
        <f>VLOOKUP(1,AA32:AK35,4,FALSE)</f>
        <v>1</v>
      </c>
      <c r="N33" s="70">
        <f>VLOOKUP(1,AA32:AK35,5,FALSE)</f>
        <v>0</v>
      </c>
      <c r="O33" s="70" t="str">
        <f>VLOOKUP(1,AA32:AK35,6,FALSE) &amp; " - " &amp; VLOOKUP(1,AA32:AK35,7,FALSE)</f>
        <v>3 - 1</v>
      </c>
      <c r="P33" s="71">
        <f>L33*3+M33</f>
        <v>4</v>
      </c>
      <c r="R33" s="58">
        <f>DATE(2018,6,23)+TIME(7,0,0)+gmt_delta</f>
        <v>43274.75</v>
      </c>
      <c r="S33" s="65" t="str">
        <f t="shared" si="2"/>
        <v>Germany_win</v>
      </c>
      <c r="T33" s="65" t="str">
        <f t="shared" si="3"/>
        <v>Sweden_lose</v>
      </c>
      <c r="U33" s="59">
        <f t="shared" si="4"/>
        <v>1</v>
      </c>
      <c r="V33" s="58">
        <f t="shared" si="5"/>
        <v>2</v>
      </c>
      <c r="W33" s="58">
        <f t="shared" si="6"/>
        <v>1</v>
      </c>
      <c r="X33" s="58">
        <f t="shared" si="7"/>
        <v>0</v>
      </c>
      <c r="Y33" s="58">
        <f t="shared" si="9"/>
        <v>1</v>
      </c>
      <c r="AA33" s="58">
        <f>COUNTIF(AN32:AN35,CONCATENATE("&gt;=",AN33))</f>
        <v>2</v>
      </c>
      <c r="AB33" s="59" t="str">
        <f>VLOOKUP("Switzerland",T,lang,FALSE)</f>
        <v>Switzerland</v>
      </c>
      <c r="AC33" s="58">
        <f>COUNTIF($S$7:$T$54,"=" &amp; AB33 &amp; "_win")</f>
        <v>1</v>
      </c>
      <c r="AD33" s="58">
        <f>COUNTIF($S$7:$T$54,"=" &amp; AB33 &amp; "_draw")</f>
        <v>1</v>
      </c>
      <c r="AE33" s="58">
        <f>COUNTIF($S$7:$T$54,"=" &amp; AB33 &amp; "_lose")</f>
        <v>0</v>
      </c>
      <c r="AF33" s="58">
        <f>SUMIF($E$7:$E$54,$AB33,$F$7:$F$54) + SUMIF($H$7:$H$54,$AB33,$G$7:$G$54)</f>
        <v>3</v>
      </c>
      <c r="AG33" s="58">
        <f>SUMIF($E$7:$E$54,$AB33,$G$7:$G$54) + SUMIF($H$7:$H$54,$AB33,$F$7:$F$54)</f>
        <v>2</v>
      </c>
      <c r="AH33" s="58">
        <f>(AF33-AG33)*100+AK33*10000+AF33</f>
        <v>40103</v>
      </c>
      <c r="AI33" s="58">
        <f>AF33-AG33</f>
        <v>1</v>
      </c>
      <c r="AJ33" s="58">
        <f>(AI33-AI37)/AI36</f>
        <v>0.66666666666666663</v>
      </c>
      <c r="AK33" s="58">
        <f>AC33*3+AD33</f>
        <v>4</v>
      </c>
      <c r="AL33" s="58">
        <f>AP33/AP36*1000+AQ33/AQ36*100+AT33/AT36*10+AR33/AR36</f>
        <v>0</v>
      </c>
      <c r="AM33" s="58">
        <f>VLOOKUP(AB33,db_fifarank,2,FALSE)/2000000</f>
        <v>5.9500000000000004E-4</v>
      </c>
      <c r="AN33" s="59">
        <f>1000*AK33/AK36+100*AJ33+10*AF33/AF36+1*AL33/AL36+AM33</f>
        <v>874.1672616666666</v>
      </c>
      <c r="AO33" s="60" t="str">
        <f>IF(SUM(AC32:AE35)=12,J34,INDEX(T,79,lang))</f>
        <v>2E</v>
      </c>
      <c r="AP33" s="61">
        <f>SUMPRODUCT(($S$7:$S$54=AB33&amp;"_win")*($U$7:$U$54))+SUMPRODUCT(($T$7:$T$54=AB33&amp;"_win")*($U$7:$U$54))</f>
        <v>0</v>
      </c>
      <c r="AQ33" s="62">
        <f>SUMPRODUCT(($S$7:$S$54=AB33&amp;"_draw")*($U$7:$U$54))+SUMPRODUCT(($T$7:$T$54=AB33&amp;"_draw")*($U$7:$U$54))</f>
        <v>0</v>
      </c>
      <c r="AR33" s="62">
        <f>SUMPRODUCT(($E$7:$E$54=AB33)*($U$7:$U$54)*($F$7:$F$54))+SUMPRODUCT(($H$7:$H$54=AB33)*($U$7:$U$54)*($G$7:$G$54))</f>
        <v>0</v>
      </c>
      <c r="AS33" s="62">
        <f>SUMPRODUCT(($E$7:$E$54=AB33)*($U$7:$U$54)*($G$7:$G$54))+SUMPRODUCT(($H$7:$H$54=AB33)*($U$7:$U$54)*($F$7:$F$54))</f>
        <v>0</v>
      </c>
      <c r="AT33" s="62">
        <f>AR33-AS33</f>
        <v>0</v>
      </c>
      <c r="AY33" s="25" t="str">
        <f>INDEX(T,24+MONTH(R64),lang) &amp; " " &amp; DAY(R64) &amp; ", " &amp; YEAR(R64) &amp; "   " &amp;  (IF(HOUR(R64)&lt;10,0,"")&amp;HOUR(R64)) &amp; ":" &amp;  (IF(MINUTE(R64)&lt;10,0,"")&amp;MINUTE(R64))</f>
        <v>Jul 3, 2018   14:00</v>
      </c>
      <c r="AZ33" s="25"/>
      <c r="BA33" s="25"/>
      <c r="BB33" s="35"/>
      <c r="BC33" s="25"/>
      <c r="BD33" s="25"/>
      <c r="BE33" s="25"/>
      <c r="BF33" s="25"/>
      <c r="BG33" s="25"/>
      <c r="BH33" s="25"/>
      <c r="BI33" s="36"/>
      <c r="BJ33" s="39"/>
      <c r="BK33" s="119"/>
      <c r="BL33" s="31" t="str">
        <f>T72</f>
        <v>W60</v>
      </c>
      <c r="BM33" s="32"/>
      <c r="BN33" s="33"/>
      <c r="BO33" s="41"/>
      <c r="BP33" s="41"/>
      <c r="BQ33" s="25"/>
      <c r="BR33" s="25"/>
      <c r="BS33" s="25"/>
      <c r="BT33" s="25"/>
    </row>
    <row r="34" spans="1:72" ht="15" customHeight="1" x14ac:dyDescent="0.3">
      <c r="A34" s="18">
        <v>28</v>
      </c>
      <c r="B34" s="19" t="str">
        <f t="shared" si="0"/>
        <v>Sat</v>
      </c>
      <c r="C34" s="20" t="str">
        <f t="shared" si="1"/>
        <v>Jun 23, 2018</v>
      </c>
      <c r="D34" s="21">
        <f t="shared" si="8"/>
        <v>0.625</v>
      </c>
      <c r="E34" s="22" t="str">
        <f>AB41</f>
        <v>Korea Republic</v>
      </c>
      <c r="F34" s="23">
        <v>1</v>
      </c>
      <c r="G34" s="24">
        <v>2</v>
      </c>
      <c r="H34" s="67" t="str">
        <f>AB39</f>
        <v>Mexico</v>
      </c>
      <c r="J34" s="72" t="str">
        <f>VLOOKUP(2,AA32:AK35,2,FALSE)</f>
        <v>Switzerland</v>
      </c>
      <c r="K34" s="27">
        <f>L34+M34+N34</f>
        <v>2</v>
      </c>
      <c r="L34" s="27">
        <f>VLOOKUP(2,AA32:AK35,3,FALSE)</f>
        <v>1</v>
      </c>
      <c r="M34" s="27">
        <f>VLOOKUP(2,AA32:AK35,4,FALSE)</f>
        <v>1</v>
      </c>
      <c r="N34" s="27">
        <f>VLOOKUP(2,AA32:AK35,5,FALSE)</f>
        <v>0</v>
      </c>
      <c r="O34" s="27" t="str">
        <f>VLOOKUP(2,AA32:AK35,6,FALSE) &amp; " - " &amp; VLOOKUP(2,AA32:AK35,7,FALSE)</f>
        <v>3 - 2</v>
      </c>
      <c r="P34" s="73">
        <f>L34*3+M34</f>
        <v>4</v>
      </c>
      <c r="R34" s="58">
        <f>DATE(2018,6,23)+TIME(4,0,0)+gmt_delta</f>
        <v>43274.625</v>
      </c>
      <c r="S34" s="65" t="str">
        <f t="shared" si="2"/>
        <v>Korea Republic_lose</v>
      </c>
      <c r="T34" s="65" t="str">
        <f t="shared" si="3"/>
        <v>Mexico_win</v>
      </c>
      <c r="U34" s="59">
        <f t="shared" si="4"/>
        <v>0</v>
      </c>
      <c r="V34" s="58">
        <f t="shared" si="5"/>
        <v>0</v>
      </c>
      <c r="W34" s="58">
        <f t="shared" si="6"/>
        <v>0</v>
      </c>
      <c r="X34" s="58">
        <f t="shared" si="7"/>
        <v>0</v>
      </c>
      <c r="Y34" s="58">
        <f t="shared" si="9"/>
        <v>-1</v>
      </c>
      <c r="AA34" s="58">
        <f>COUNTIF(AN32:AN35,CONCATENATE("&gt;=",AN34))</f>
        <v>4</v>
      </c>
      <c r="AB34" s="59" t="str">
        <f>VLOOKUP("Costa Rica",T,lang,FALSE)</f>
        <v>Costa Rica</v>
      </c>
      <c r="AC34" s="58">
        <f>COUNTIF($S$7:$T$54,"=" &amp; AB34 &amp; "_win")</f>
        <v>0</v>
      </c>
      <c r="AD34" s="58">
        <f>COUNTIF($S$7:$T$54,"=" &amp; AB34 &amp; "_draw")</f>
        <v>0</v>
      </c>
      <c r="AE34" s="58">
        <f>COUNTIF($S$7:$T$54,"=" &amp; AB34 &amp; "_lose")</f>
        <v>2</v>
      </c>
      <c r="AF34" s="58">
        <f>SUMIF($E$7:$E$54,$AB34,$F$7:$F$54) + SUMIF($H$7:$H$54,$AB34,$G$7:$G$54)</f>
        <v>0</v>
      </c>
      <c r="AG34" s="58">
        <f>SUMIF($E$7:$E$54,$AB34,$G$7:$G$54) + SUMIF($H$7:$H$54,$AB34,$F$7:$F$54)</f>
        <v>3</v>
      </c>
      <c r="AH34" s="58">
        <f>(AF34-AG34)*100+AK34*10000+AF34</f>
        <v>-300</v>
      </c>
      <c r="AI34" s="58">
        <f>AF34-AG34</f>
        <v>-3</v>
      </c>
      <c r="AJ34" s="58">
        <f>(AI34-AI37)/AI36</f>
        <v>0</v>
      </c>
      <c r="AK34" s="58">
        <f>AC34*3+AD34</f>
        <v>0</v>
      </c>
      <c r="AL34" s="58">
        <f>AP34/AP36*1000+AQ34/AQ36*100+AT34/AT36*10+AR34/AR36</f>
        <v>0</v>
      </c>
      <c r="AM34" s="58">
        <f>VLOOKUP(AB34,db_fifarank,2,FALSE)/2000000</f>
        <v>4.2499999999999998E-4</v>
      </c>
      <c r="AN34" s="59">
        <f>1000*AK34/AK36+100*AJ34+10*AF34/AF36+1*AL34/AL36+AM34</f>
        <v>4.2499999999999998E-4</v>
      </c>
      <c r="AP34" s="61">
        <f>SUMPRODUCT(($S$7:$S$54=AB34&amp;"_win")*($U$7:$U$54))+SUMPRODUCT(($T$7:$T$54=AB34&amp;"_win")*($U$7:$U$54))</f>
        <v>0</v>
      </c>
      <c r="AQ34" s="62">
        <f>SUMPRODUCT(($S$7:$S$54=AB34&amp;"_draw")*($U$7:$U$54))+SUMPRODUCT(($T$7:$T$54=AB34&amp;"_draw")*($U$7:$U$54))</f>
        <v>0</v>
      </c>
      <c r="AR34" s="62">
        <f>SUMPRODUCT(($E$7:$E$54=AB34)*($U$7:$U$54)*($F$7:$F$54))+SUMPRODUCT(($H$7:$H$54=AB34)*($U$7:$U$54)*($G$7:$G$54))</f>
        <v>0</v>
      </c>
      <c r="AS34" s="62">
        <f>SUMPRODUCT(($E$7:$E$54=AB34)*($U$7:$U$54)*($G$7:$G$54))+SUMPRODUCT(($H$7:$H$54=AB34)*($U$7:$U$54)*($F$7:$F$54))</f>
        <v>0</v>
      </c>
      <c r="AT34" s="62">
        <f>AR34-AS34</f>
        <v>0</v>
      </c>
      <c r="AY34" s="118">
        <v>55</v>
      </c>
      <c r="AZ34" s="28" t="str">
        <f>AO38</f>
        <v>1F</v>
      </c>
      <c r="BA34" s="29"/>
      <c r="BB34" s="30"/>
      <c r="BC34" s="25"/>
      <c r="BD34" s="25"/>
      <c r="BE34" s="25"/>
      <c r="BF34" s="25"/>
      <c r="BG34" s="25"/>
      <c r="BH34" s="25"/>
      <c r="BI34" s="36"/>
      <c r="BJ34" s="25"/>
      <c r="BK34" s="25"/>
      <c r="BL34" s="25"/>
      <c r="BM34" s="25"/>
      <c r="BN34" s="25"/>
      <c r="BO34" s="25"/>
      <c r="BP34" s="25"/>
      <c r="BQ34" s="25" t="str">
        <f>INDEX(T,24+MONTH(R81),lang) &amp; " " &amp; DAY(R81) &amp; ", " &amp; YEAR(R81) &amp; "   " &amp;  (IF(HOUR(R81)&lt;10,0,"")&amp;HOUR(R81)) &amp; ":" &amp;  (IF(MINUTE(R81)&lt;10,0,"")&amp;MINUTE(R81))</f>
        <v>Jul 14, 2018   14:00</v>
      </c>
      <c r="BR34" s="25"/>
      <c r="BS34" s="25"/>
      <c r="BT34" s="35"/>
    </row>
    <row r="35" spans="1:72" ht="15" customHeight="1" x14ac:dyDescent="0.3">
      <c r="A35" s="18">
        <v>29</v>
      </c>
      <c r="B35" s="19" t="str">
        <f t="shared" si="0"/>
        <v>Sat</v>
      </c>
      <c r="C35" s="20" t="str">
        <f t="shared" si="1"/>
        <v>Jun 23, 2018</v>
      </c>
      <c r="D35" s="21">
        <f t="shared" si="8"/>
        <v>0.5</v>
      </c>
      <c r="E35" s="22" t="str">
        <f>AB44</f>
        <v>Belgium</v>
      </c>
      <c r="F35" s="23">
        <v>5</v>
      </c>
      <c r="G35" s="24">
        <v>2</v>
      </c>
      <c r="H35" s="67" t="str">
        <f>AB46</f>
        <v>Tunisia</v>
      </c>
      <c r="J35" s="72" t="str">
        <f>VLOOKUP(3,AA32:AK35,2,FALSE)</f>
        <v>Serbia</v>
      </c>
      <c r="K35" s="27">
        <f>L35+M35+N35</f>
        <v>2</v>
      </c>
      <c r="L35" s="27">
        <f>VLOOKUP(3,AA32:AK35,3,FALSE)</f>
        <v>1</v>
      </c>
      <c r="M35" s="27">
        <f>VLOOKUP(3,AA32:AK35,4,FALSE)</f>
        <v>0</v>
      </c>
      <c r="N35" s="27">
        <f>VLOOKUP(3,AA32:AK35,5,FALSE)</f>
        <v>1</v>
      </c>
      <c r="O35" s="27" t="str">
        <f>VLOOKUP(3,AA32:AK35,6,FALSE) &amp; " - " &amp; VLOOKUP(3,AA32:AK35,7,FALSE)</f>
        <v>2 - 2</v>
      </c>
      <c r="P35" s="73">
        <f>L35*3+M35</f>
        <v>3</v>
      </c>
      <c r="R35" s="58">
        <f>DATE(2018,6,23)+TIME(1,0,0)+gmt_delta</f>
        <v>43274.5</v>
      </c>
      <c r="S35" s="65" t="str">
        <f t="shared" si="2"/>
        <v>Belgium_win</v>
      </c>
      <c r="T35" s="65" t="str">
        <f t="shared" si="3"/>
        <v>Tunisia_lose</v>
      </c>
      <c r="U35" s="59">
        <f t="shared" si="4"/>
        <v>0</v>
      </c>
      <c r="V35" s="58">
        <f t="shared" si="5"/>
        <v>0</v>
      </c>
      <c r="W35" s="58">
        <f t="shared" si="6"/>
        <v>0</v>
      </c>
      <c r="X35" s="58">
        <f t="shared" si="7"/>
        <v>0</v>
      </c>
      <c r="Y35" s="58">
        <f t="shared" si="9"/>
        <v>1</v>
      </c>
      <c r="AA35" s="58">
        <f>COUNTIF(AN32:AN35,CONCATENATE("&gt;=",AN35))</f>
        <v>3</v>
      </c>
      <c r="AB35" s="59" t="str">
        <f>VLOOKUP("Serbia",T,lang,FALSE)</f>
        <v>Serbia</v>
      </c>
      <c r="AC35" s="58">
        <f>COUNTIF($S$7:$T$54,"=" &amp; AB35 &amp; "_win")</f>
        <v>1</v>
      </c>
      <c r="AD35" s="58">
        <f>COUNTIF($S$7:$T$54,"=" &amp; AB35 &amp; "_draw")</f>
        <v>0</v>
      </c>
      <c r="AE35" s="58">
        <f>COUNTIF($S$7:$T$54,"=" &amp; AB35 &amp; "_lose")</f>
        <v>1</v>
      </c>
      <c r="AF35" s="58">
        <f>SUMIF($E$7:$E$54,$AB35,$F$7:$F$54) + SUMIF($H$7:$H$54,$AB35,$G$7:$G$54)</f>
        <v>2</v>
      </c>
      <c r="AG35" s="58">
        <f>SUMIF($E$7:$E$54,$AB35,$G$7:$G$54) + SUMIF($H$7:$H$54,$AB35,$F$7:$F$54)</f>
        <v>2</v>
      </c>
      <c r="AH35" s="58">
        <f>(AF35-AG35)*100+AK35*10000+AF35</f>
        <v>30002</v>
      </c>
      <c r="AI35" s="58">
        <f>AF35-AG35</f>
        <v>0</v>
      </c>
      <c r="AJ35" s="58">
        <f>(AI35-AI37)/AI36</f>
        <v>0.5</v>
      </c>
      <c r="AK35" s="58">
        <f>AC35*3+AD35</f>
        <v>3</v>
      </c>
      <c r="AL35" s="58">
        <f>AP35/AP36*1000+AQ35/AQ36*100+AT35/AT36*10+AR35/AR36</f>
        <v>0</v>
      </c>
      <c r="AM35" s="58">
        <f>VLOOKUP(AB35,db_fifarank,2,FALSE)/2000000</f>
        <v>3.7800000000000003E-4</v>
      </c>
      <c r="AN35" s="59">
        <f>1000*AK35/AK36+100*AJ35+10*AF35/AF36+1*AL35/AL36+AM35</f>
        <v>655.00037799999996</v>
      </c>
      <c r="AP35" s="61">
        <f>SUMPRODUCT(($S$7:$S$54=AB35&amp;"_win")*($U$7:$U$54))+SUMPRODUCT(($T$7:$T$54=AB35&amp;"_win")*($U$7:$U$54))</f>
        <v>0</v>
      </c>
      <c r="AQ35" s="62">
        <f>SUMPRODUCT(($S$7:$S$54=AB35&amp;"_draw")*($U$7:$U$54))+SUMPRODUCT(($T$7:$T$54=AB35&amp;"_draw")*($U$7:$U$54))</f>
        <v>0</v>
      </c>
      <c r="AR35" s="62">
        <f>SUMPRODUCT(($E$7:$E$54=AB35)*($U$7:$U$54)*($F$7:$F$54))+SUMPRODUCT(($H$7:$H$54=AB35)*($U$7:$U$54)*($G$7:$G$54))</f>
        <v>0</v>
      </c>
      <c r="AS35" s="62">
        <f>SUMPRODUCT(($E$7:$E$54=AB35)*($U$7:$U$54)*($G$7:$G$54))+SUMPRODUCT(($H$7:$H$54=AB35)*($U$7:$U$54)*($F$7:$F$54))</f>
        <v>0</v>
      </c>
      <c r="AT35" s="62">
        <f>AR35-AS35</f>
        <v>0</v>
      </c>
      <c r="AY35" s="119"/>
      <c r="AZ35" s="31" t="str">
        <f>AO33</f>
        <v>2E</v>
      </c>
      <c r="BA35" s="32"/>
      <c r="BB35" s="33"/>
      <c r="BC35" s="34"/>
      <c r="BD35" s="25"/>
      <c r="BE35" s="25" t="str">
        <f>INDEX(T,24+MONTH(R72),lang) &amp; " " &amp; DAY(R72) &amp; ", " &amp; YEAR(R72) &amp; "   " &amp; (IF(HOUR(R72)&lt;10,0,"")&amp;HOUR(R72)) &amp; ":" &amp;  (IF(MINUTE(R72)&lt;10,0,"")&amp;MINUTE(R72))</f>
        <v>Jul 7, 2018   14:00</v>
      </c>
      <c r="BF35" s="25"/>
      <c r="BG35" s="25"/>
      <c r="BH35" s="35"/>
      <c r="BI35" s="36"/>
      <c r="BJ35" s="25"/>
      <c r="BK35" s="25"/>
      <c r="BL35" s="25"/>
      <c r="BM35" s="25"/>
      <c r="BN35" s="25"/>
      <c r="BO35" s="25"/>
      <c r="BP35" s="25"/>
      <c r="BQ35" s="118">
        <v>63</v>
      </c>
      <c r="BR35" s="28" t="str">
        <f>Z76</f>
        <v>L61</v>
      </c>
      <c r="BS35" s="29"/>
      <c r="BT35" s="30"/>
    </row>
    <row r="36" spans="1:72" ht="15" customHeight="1" x14ac:dyDescent="0.3">
      <c r="A36" s="18">
        <v>30</v>
      </c>
      <c r="B36" s="19" t="str">
        <f t="shared" si="0"/>
        <v>Sun</v>
      </c>
      <c r="C36" s="20" t="str">
        <f t="shared" si="1"/>
        <v>Jun 24, 2018</v>
      </c>
      <c r="D36" s="21">
        <f t="shared" si="8"/>
        <v>0.5</v>
      </c>
      <c r="E36" s="22" t="str">
        <f>AB47</f>
        <v>England</v>
      </c>
      <c r="F36" s="23">
        <v>6</v>
      </c>
      <c r="G36" s="24">
        <v>1</v>
      </c>
      <c r="H36" s="67" t="str">
        <f>AB45</f>
        <v>Panama</v>
      </c>
      <c r="J36" s="74" t="str">
        <f>VLOOKUP(4,AA32:AK35,2,FALSE)</f>
        <v>Costa Rica</v>
      </c>
      <c r="K36" s="75">
        <f>L36+M36+N36</f>
        <v>2</v>
      </c>
      <c r="L36" s="75">
        <f>VLOOKUP(4,AA32:AK35,3,FALSE)</f>
        <v>0</v>
      </c>
      <c r="M36" s="75">
        <f>VLOOKUP(4,AA32:AK35,4,FALSE)</f>
        <v>0</v>
      </c>
      <c r="N36" s="75">
        <f>VLOOKUP(4,AA32:AK35,5,FALSE)</f>
        <v>2</v>
      </c>
      <c r="O36" s="75" t="str">
        <f>VLOOKUP(4,AA32:AK35,6,FALSE) &amp; " - " &amp; VLOOKUP(4,AA32:AK35,7,FALSE)</f>
        <v>0 - 3</v>
      </c>
      <c r="P36" s="76">
        <f>L36*3+M36</f>
        <v>0</v>
      </c>
      <c r="R36" s="58">
        <f>DATE(2018,6,24)+TIME(1,0,0)+gmt_delta</f>
        <v>43275.5</v>
      </c>
      <c r="S36" s="65" t="str">
        <f t="shared" si="2"/>
        <v>England_win</v>
      </c>
      <c r="T36" s="65" t="str">
        <f t="shared" si="3"/>
        <v>Panama_lose</v>
      </c>
      <c r="U36" s="59">
        <f t="shared" si="4"/>
        <v>0</v>
      </c>
      <c r="V36" s="58">
        <f t="shared" si="5"/>
        <v>0</v>
      </c>
      <c r="W36" s="58">
        <f t="shared" si="6"/>
        <v>0</v>
      </c>
      <c r="X36" s="58">
        <f t="shared" si="7"/>
        <v>0</v>
      </c>
      <c r="Y36" s="58">
        <f t="shared" si="9"/>
        <v>1</v>
      </c>
      <c r="AC36" s="58">
        <f t="shared" ref="AC36:AL36" si="14">MAX(AC32:AC35)-MIN(AC32:AC35)+1</f>
        <v>2</v>
      </c>
      <c r="AD36" s="58">
        <f t="shared" si="14"/>
        <v>2</v>
      </c>
      <c r="AE36" s="58">
        <f t="shared" si="14"/>
        <v>3</v>
      </c>
      <c r="AF36" s="58">
        <f t="shared" si="14"/>
        <v>4</v>
      </c>
      <c r="AG36" s="58">
        <f t="shared" si="14"/>
        <v>3</v>
      </c>
      <c r="AH36" s="58">
        <f>MAX(AH32:AH35)-AH37+1</f>
        <v>40504</v>
      </c>
      <c r="AI36" s="58">
        <f>MAX(AI32:AI35)-AI37+1</f>
        <v>6</v>
      </c>
      <c r="AK36" s="58">
        <f t="shared" si="14"/>
        <v>5</v>
      </c>
      <c r="AL36" s="58">
        <f t="shared" si="14"/>
        <v>1</v>
      </c>
      <c r="AP36" s="58">
        <f>MAX(AP32:AP35)-MIN(AP32:AP35)+1</f>
        <v>1</v>
      </c>
      <c r="AQ36" s="58">
        <f>MAX(AQ32:AQ35)-MIN(AQ32:AQ35)+1</f>
        <v>1</v>
      </c>
      <c r="AR36" s="58">
        <f>MAX(AR32:AR35)-MIN(AR32:AR35)+1</f>
        <v>1</v>
      </c>
      <c r="AS36" s="58">
        <f>MAX(AS32:AS35)-MIN(AS32:AS35)+1</f>
        <v>1</v>
      </c>
      <c r="AT36" s="58">
        <f>MAX(AT32:AT35)-MIN(AT32:AT35)+1</f>
        <v>1</v>
      </c>
      <c r="AY36" s="25"/>
      <c r="AZ36" s="25"/>
      <c r="BA36" s="25"/>
      <c r="BB36" s="25"/>
      <c r="BC36" s="36"/>
      <c r="BD36" s="25"/>
      <c r="BE36" s="118">
        <v>60</v>
      </c>
      <c r="BF36" s="28" t="str">
        <f>T64</f>
        <v>W55</v>
      </c>
      <c r="BG36" s="29"/>
      <c r="BH36" s="30"/>
      <c r="BI36" s="40"/>
      <c r="BJ36" s="25"/>
      <c r="BK36" s="25"/>
      <c r="BL36" s="25"/>
      <c r="BM36" s="25"/>
      <c r="BN36" s="25"/>
      <c r="BO36" s="25"/>
      <c r="BP36" s="25"/>
      <c r="BQ36" s="119"/>
      <c r="BR36" s="31" t="str">
        <f>Z77</f>
        <v>L62</v>
      </c>
      <c r="BS36" s="32"/>
      <c r="BT36" s="33"/>
    </row>
    <row r="37" spans="1:72" ht="15" customHeight="1" x14ac:dyDescent="0.3">
      <c r="A37" s="18">
        <v>31</v>
      </c>
      <c r="B37" s="19" t="str">
        <f t="shared" si="0"/>
        <v>Sun</v>
      </c>
      <c r="C37" s="20" t="str">
        <f t="shared" si="1"/>
        <v>Jun 24, 2018</v>
      </c>
      <c r="D37" s="21">
        <f t="shared" si="8"/>
        <v>0.75</v>
      </c>
      <c r="E37" s="22" t="str">
        <f>AB50</f>
        <v>Poland</v>
      </c>
      <c r="F37" s="23"/>
      <c r="G37" s="24"/>
      <c r="H37" s="67" t="str">
        <f>AB52</f>
        <v>Colombia</v>
      </c>
      <c r="R37" s="58">
        <f>DATE(2018,6,24)+TIME(7,0,0)+gmt_delta</f>
        <v>43275.75</v>
      </c>
      <c r="S37" s="65" t="str">
        <f t="shared" si="2"/>
        <v/>
      </c>
      <c r="T37" s="65" t="str">
        <f t="shared" si="3"/>
        <v/>
      </c>
      <c r="U37" s="59">
        <f t="shared" si="4"/>
        <v>0</v>
      </c>
      <c r="V37" s="58">
        <f t="shared" si="5"/>
        <v>0</v>
      </c>
      <c r="W37" s="58">
        <f t="shared" si="6"/>
        <v>0</v>
      </c>
      <c r="X37" s="58">
        <f t="shared" si="7"/>
        <v>0</v>
      </c>
      <c r="Y37" s="58" t="str">
        <f t="shared" si="9"/>
        <v/>
      </c>
      <c r="AH37" s="58">
        <f>MIN(AH32:AH35)</f>
        <v>-300</v>
      </c>
      <c r="AI37" s="58">
        <f>MIN(AI32:AI35)</f>
        <v>-3</v>
      </c>
      <c r="AY37" s="25" t="str">
        <f>INDEX(T,24+MONTH(R65),lang) &amp; " " &amp; DAY(R65) &amp; ", " &amp; YEAR(R65) &amp; "   " &amp;  (IF(HOUR(R65)&lt;10,0,"")&amp;HOUR(R65)) &amp; ":" &amp;  (IF(MINUTE(R65)&lt;10,0,"")&amp;MINUTE(R65))</f>
        <v>Jul 3, 2018   18:00</v>
      </c>
      <c r="AZ37" s="25"/>
      <c r="BA37" s="25"/>
      <c r="BB37" s="35"/>
      <c r="BC37" s="36"/>
      <c r="BD37" s="39"/>
      <c r="BE37" s="119"/>
      <c r="BF37" s="31" t="str">
        <f>T65</f>
        <v>W56</v>
      </c>
      <c r="BG37" s="32"/>
      <c r="BH37" s="33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2" ht="15" customHeight="1" x14ac:dyDescent="0.3">
      <c r="A38" s="18">
        <v>32</v>
      </c>
      <c r="B38" s="19" t="str">
        <f t="shared" si="0"/>
        <v>Sun</v>
      </c>
      <c r="C38" s="20" t="str">
        <f t="shared" si="1"/>
        <v>Jun 24, 2018</v>
      </c>
      <c r="D38" s="21">
        <f t="shared" si="8"/>
        <v>0.625</v>
      </c>
      <c r="E38" s="22" t="str">
        <f>AB53</f>
        <v>Japan</v>
      </c>
      <c r="F38" s="23">
        <v>2</v>
      </c>
      <c r="G38" s="24">
        <v>2</v>
      </c>
      <c r="H38" s="67" t="str">
        <f>AB51</f>
        <v>Senegal</v>
      </c>
      <c r="J38" s="77" t="str">
        <f>INDEX(T,9,lang) &amp; " " &amp; "F"</f>
        <v>Group F</v>
      </c>
      <c r="K38" s="78" t="str">
        <f>INDEX(T,10,lang)</f>
        <v>PL</v>
      </c>
      <c r="L38" s="78" t="str">
        <f>INDEX(T,11,lang)</f>
        <v>W</v>
      </c>
      <c r="M38" s="78" t="str">
        <f>INDEX(T,12,lang)</f>
        <v>DRAW</v>
      </c>
      <c r="N38" s="78" t="str">
        <f>INDEX(T,13,lang)</f>
        <v>L</v>
      </c>
      <c r="O38" s="78" t="str">
        <f>INDEX(T,14,lang)</f>
        <v>GF - GA</v>
      </c>
      <c r="P38" s="79" t="str">
        <f>INDEX(T,15,lang)</f>
        <v>PNT</v>
      </c>
      <c r="R38" s="58">
        <f>DATE(2018,6,24)+TIME(4,0,0)+gmt_delta</f>
        <v>43275.625</v>
      </c>
      <c r="S38" s="65" t="str">
        <f t="shared" si="2"/>
        <v>Japan_draw</v>
      </c>
      <c r="T38" s="65" t="str">
        <f t="shared" si="3"/>
        <v>Senegal_draw</v>
      </c>
      <c r="U38" s="59">
        <f t="shared" si="4"/>
        <v>1</v>
      </c>
      <c r="V38" s="58">
        <f t="shared" si="5"/>
        <v>2</v>
      </c>
      <c r="W38" s="58">
        <f t="shared" si="6"/>
        <v>2</v>
      </c>
      <c r="X38" s="58">
        <f t="shared" si="7"/>
        <v>0</v>
      </c>
      <c r="Y38" s="58">
        <f t="shared" si="9"/>
        <v>0</v>
      </c>
      <c r="AA38" s="58">
        <f>COUNTIF(AN38:AN41,CONCATENATE("&gt;=",AN38))</f>
        <v>2</v>
      </c>
      <c r="AB38" s="59" t="str">
        <f>VLOOKUP("Germany",T,lang,FALSE)</f>
        <v>Germany</v>
      </c>
      <c r="AC38" s="58">
        <f>COUNTIF($S$7:$T$54,"=" &amp; AB38 &amp; "_win")</f>
        <v>1</v>
      </c>
      <c r="AD38" s="58">
        <f>COUNTIF($S$7:$T$54,"=" &amp; AB38 &amp; "_draw")</f>
        <v>0</v>
      </c>
      <c r="AE38" s="58">
        <f>COUNTIF($S$7:$T$54,"=" &amp; AB38 &amp; "_lose")</f>
        <v>1</v>
      </c>
      <c r="AF38" s="58">
        <f>SUMIF($E$7:$E$54,$AB38,$F$7:$F$54) + SUMIF($H$7:$H$54,$AB38,$G$7:$G$54)</f>
        <v>2</v>
      </c>
      <c r="AG38" s="58">
        <f>SUMIF($E$7:$E$54,$AB38,$G$7:$G$54) + SUMIF($H$7:$H$54,$AB38,$F$7:$F$54)</f>
        <v>2</v>
      </c>
      <c r="AH38" s="58">
        <f>(AF38-AG38)*100+AK38*10000+AF38</f>
        <v>30002</v>
      </c>
      <c r="AI38" s="58">
        <f>AF38-AG38</f>
        <v>0</v>
      </c>
      <c r="AJ38" s="58">
        <f>(AI38-AI43)/AI42</f>
        <v>0.4</v>
      </c>
      <c r="AK38" s="58">
        <f>AC38*3+AD38</f>
        <v>3</v>
      </c>
      <c r="AL38" s="58">
        <f>AP38/AP42*1000+AQ38/AQ42*100+AT38/AT42*10+AR38/AR42</f>
        <v>504</v>
      </c>
      <c r="AM38" s="58">
        <f>VLOOKUP(AB38,db_fifarank,2,FALSE)/2000000</f>
        <v>8.0099999999999995E-4</v>
      </c>
      <c r="AN38" s="59">
        <f>1000*AK38/AK42+100*AJ38+10*AF38/AF42+1*AL38/AL42+AM38</f>
        <v>476.23102222234724</v>
      </c>
      <c r="AO38" s="60" t="str">
        <f>IF(SUM(AC38:AE41)=12,J39,INDEX(T,80,lang))</f>
        <v>1F</v>
      </c>
      <c r="AP38" s="61">
        <f>SUMPRODUCT(($S$7:$S$54=AB38&amp;"_win")*($U$7:$U$54))+SUMPRODUCT(($T$7:$T$54=AB38&amp;"_win")*($U$7:$U$54))</f>
        <v>1</v>
      </c>
      <c r="AQ38" s="62">
        <f>SUMPRODUCT(($S$7:$S$54=AB38&amp;"_draw")*($U$7:$U$54))+SUMPRODUCT(($T$7:$T$54=AB38&amp;"_draw")*($U$7:$U$54))</f>
        <v>0</v>
      </c>
      <c r="AR38" s="62">
        <f>SUMPRODUCT(($E$7:$E$54=AB38)*($U$7:$U$54)*($F$7:$F$54))+SUMPRODUCT(($H$7:$H$54=AB38)*($U$7:$U$54)*($G$7:$G$54))</f>
        <v>2</v>
      </c>
      <c r="AS38" s="62">
        <f>SUMPRODUCT(($E$7:$E$54=AB38)*($U$7:$U$54)*($G$7:$G$54))+SUMPRODUCT(($H$7:$H$54=AB38)*($U$7:$U$54)*($F$7:$F$54))</f>
        <v>1</v>
      </c>
      <c r="AT38" s="62">
        <f>AR38-AS38</f>
        <v>1</v>
      </c>
      <c r="AY38" s="118">
        <v>56</v>
      </c>
      <c r="AZ38" s="28" t="str">
        <f>AO50</f>
        <v>1H</v>
      </c>
      <c r="BA38" s="29"/>
      <c r="BB38" s="30"/>
      <c r="BC38" s="40"/>
      <c r="BD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</row>
    <row r="39" spans="1:72" ht="15" customHeight="1" x14ac:dyDescent="0.3">
      <c r="A39" s="18">
        <v>33</v>
      </c>
      <c r="B39" s="19" t="str">
        <f t="shared" si="0"/>
        <v>Mon</v>
      </c>
      <c r="C39" s="20" t="str">
        <f t="shared" si="1"/>
        <v>Jun 25, 2018</v>
      </c>
      <c r="D39" s="21">
        <f t="shared" si="8"/>
        <v>0.58333333333333337</v>
      </c>
      <c r="E39" s="22" t="str">
        <f>AB11</f>
        <v>Uruguay</v>
      </c>
      <c r="F39" s="23"/>
      <c r="G39" s="24"/>
      <c r="H39" s="67" t="str">
        <f>AB8</f>
        <v>Russia</v>
      </c>
      <c r="J39" s="69" t="str">
        <f>VLOOKUP(1,AA38:AK41,2,FALSE)</f>
        <v>Mexico</v>
      </c>
      <c r="K39" s="70">
        <f>L39+M39+N39</f>
        <v>2</v>
      </c>
      <c r="L39" s="70">
        <f>VLOOKUP(1,AA38:AK41,3,FALSE)</f>
        <v>2</v>
      </c>
      <c r="M39" s="70">
        <f>VLOOKUP(1,AA38:AK41,4,FALSE)</f>
        <v>0</v>
      </c>
      <c r="N39" s="70">
        <f>VLOOKUP(1,AA38:AK41,5,FALSE)</f>
        <v>0</v>
      </c>
      <c r="O39" s="70" t="str">
        <f>VLOOKUP(1,AA38:AK41,6,FALSE) &amp; " - " &amp; VLOOKUP(1,AA38:AK41,7,FALSE)</f>
        <v>3 - 1</v>
      </c>
      <c r="P39" s="71">
        <f>L39*3+M39</f>
        <v>6</v>
      </c>
      <c r="R39" s="58">
        <f>DATE(2018,6,25)+TIME(3,0,0)+gmt_delta</f>
        <v>43276.583333333336</v>
      </c>
      <c r="S39" s="65" t="str">
        <f t="shared" si="2"/>
        <v/>
      </c>
      <c r="T39" s="65" t="str">
        <f t="shared" si="3"/>
        <v/>
      </c>
      <c r="U39" s="59">
        <f t="shared" si="4"/>
        <v>0</v>
      </c>
      <c r="V39" s="58">
        <f t="shared" si="5"/>
        <v>0</v>
      </c>
      <c r="W39" s="58">
        <f t="shared" si="6"/>
        <v>0</v>
      </c>
      <c r="X39" s="58">
        <f t="shared" si="7"/>
        <v>0</v>
      </c>
      <c r="Y39" s="58" t="str">
        <f t="shared" si="9"/>
        <v/>
      </c>
      <c r="AA39" s="58">
        <f>COUNTIF(AN38:AN41,CONCATENATE("&gt;=",AN39))</f>
        <v>1</v>
      </c>
      <c r="AB39" s="59" t="str">
        <f>VLOOKUP("Mexico",T,lang,FALSE)</f>
        <v>Mexico</v>
      </c>
      <c r="AC39" s="58">
        <f>COUNTIF($S$7:$T$54,"=" &amp; AB39 &amp; "_win")</f>
        <v>2</v>
      </c>
      <c r="AD39" s="58">
        <f>COUNTIF($S$7:$T$54,"=" &amp; AB39 &amp; "_draw")</f>
        <v>0</v>
      </c>
      <c r="AE39" s="58">
        <f>COUNTIF($S$7:$T$54,"=" &amp; AB39 &amp; "_lose")</f>
        <v>0</v>
      </c>
      <c r="AF39" s="58">
        <f>SUMIF($E$7:$E$54,$AB39,$F$7:$F$54) + SUMIF($H$7:$H$54,$AB39,$G$7:$G$54)</f>
        <v>3</v>
      </c>
      <c r="AG39" s="58">
        <f>SUMIF($E$7:$E$54,$AB39,$G$7:$G$54) + SUMIF($H$7:$H$54,$AB39,$F$7:$F$54)</f>
        <v>1</v>
      </c>
      <c r="AH39" s="58">
        <f>(AF39-AG39)*100+AK39*10000+AF39</f>
        <v>60203</v>
      </c>
      <c r="AI39" s="58">
        <f>AF39-AG39</f>
        <v>2</v>
      </c>
      <c r="AJ39" s="58">
        <f>(AI39-AI43)/AI42</f>
        <v>0.8</v>
      </c>
      <c r="AK39" s="58">
        <f>AC39*3+AD39</f>
        <v>6</v>
      </c>
      <c r="AL39" s="58">
        <f>AP39/AP42*1000+AQ39/AQ42*100+AT39/AT42*10+AR39/AR42</f>
        <v>0</v>
      </c>
      <c r="AM39" s="58">
        <f>VLOOKUP(AB39,db_fifarank,2,FALSE)/2000000</f>
        <v>5.1599999999999997E-4</v>
      </c>
      <c r="AN39" s="59">
        <f>1000*AK39/AK42+100*AJ39+10*AF39/AF42+1*AL39/AL42+AM39</f>
        <v>947.14337314285706</v>
      </c>
      <c r="AO39" s="60" t="str">
        <f>IF(SUM(AC38:AE41)=12,J40,INDEX(T,81,lang))</f>
        <v>2F</v>
      </c>
      <c r="AP39" s="61">
        <f>SUMPRODUCT(($S$7:$S$54=AB39&amp;"_win")*($U$7:$U$54))+SUMPRODUCT(($T$7:$T$54=AB39&amp;"_win")*($U$7:$U$54))</f>
        <v>0</v>
      </c>
      <c r="AQ39" s="62">
        <f>SUMPRODUCT(($S$7:$S$54=AB39&amp;"_draw")*($U$7:$U$54))+SUMPRODUCT(($T$7:$T$54=AB39&amp;"_draw")*($U$7:$U$54))</f>
        <v>0</v>
      </c>
      <c r="AR39" s="62">
        <f>SUMPRODUCT(($E$7:$E$54=AB39)*($U$7:$U$54)*($F$7:$F$54))+SUMPRODUCT(($H$7:$H$54=AB39)*($U$7:$U$54)*($G$7:$G$54))</f>
        <v>0</v>
      </c>
      <c r="AS39" s="62">
        <f>SUMPRODUCT(($E$7:$E$54=AB39)*($U$7:$U$54)*($G$7:$G$54))+SUMPRODUCT(($H$7:$H$54=AB39)*($U$7:$U$54)*($F$7:$F$54))</f>
        <v>0</v>
      </c>
      <c r="AT39" s="62">
        <f>AR39-AS39</f>
        <v>0</v>
      </c>
      <c r="AY39" s="119"/>
      <c r="AZ39" s="31" t="str">
        <f>AO45</f>
        <v>2G</v>
      </c>
      <c r="BA39" s="32"/>
      <c r="BB39" s="33"/>
      <c r="BC39" s="25"/>
      <c r="BD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2" ht="15" customHeight="1" thickBot="1" x14ac:dyDescent="0.35">
      <c r="A40" s="18">
        <v>34</v>
      </c>
      <c r="B40" s="19" t="str">
        <f t="shared" si="0"/>
        <v>Mon</v>
      </c>
      <c r="C40" s="20" t="str">
        <f t="shared" si="1"/>
        <v>Jun 25, 2018</v>
      </c>
      <c r="D40" s="21">
        <f t="shared" si="8"/>
        <v>0.58333333333333337</v>
      </c>
      <c r="E40" s="22" t="str">
        <f>AB9</f>
        <v>Saudi Arabia</v>
      </c>
      <c r="F40" s="23"/>
      <c r="G40" s="24"/>
      <c r="H40" s="67" t="str">
        <f>AB10</f>
        <v>Egypt</v>
      </c>
      <c r="J40" s="72" t="str">
        <f>VLOOKUP(2,AA38:AK41,2,FALSE)</f>
        <v>Germany</v>
      </c>
      <c r="K40" s="27">
        <f>L40+M40+N40</f>
        <v>2</v>
      </c>
      <c r="L40" s="27">
        <f>VLOOKUP(2,AA38:AK41,3,FALSE)</f>
        <v>1</v>
      </c>
      <c r="M40" s="27">
        <f>VLOOKUP(2,AA38:AK41,4,FALSE)</f>
        <v>0</v>
      </c>
      <c r="N40" s="27">
        <f>VLOOKUP(2,AA38:AK41,5,FALSE)</f>
        <v>1</v>
      </c>
      <c r="O40" s="27" t="str">
        <f>VLOOKUP(2,AA38:AK41,6,FALSE) &amp; " - " &amp; VLOOKUP(2,AA38:AK41,7,FALSE)</f>
        <v>2 - 2</v>
      </c>
      <c r="P40" s="73">
        <f>L40*3+M40</f>
        <v>3</v>
      </c>
      <c r="R40" s="58">
        <f>DATE(2018,6,25)+TIME(3,0,0)+gmt_delta</f>
        <v>43276.583333333336</v>
      </c>
      <c r="S40" s="65" t="str">
        <f t="shared" si="2"/>
        <v/>
      </c>
      <c r="T40" s="65" t="str">
        <f t="shared" si="3"/>
        <v/>
      </c>
      <c r="U40" s="59">
        <f t="shared" si="4"/>
        <v>0</v>
      </c>
      <c r="V40" s="58">
        <f t="shared" si="5"/>
        <v>0</v>
      </c>
      <c r="W40" s="58">
        <f t="shared" si="6"/>
        <v>0</v>
      </c>
      <c r="X40" s="58">
        <f t="shared" si="7"/>
        <v>0</v>
      </c>
      <c r="Y40" s="58" t="str">
        <f t="shared" si="9"/>
        <v/>
      </c>
      <c r="AA40" s="58">
        <f>COUNTIF(AN38:AN41,CONCATENATE("&gt;=",AN40))</f>
        <v>3</v>
      </c>
      <c r="AB40" s="59" t="str">
        <f>VLOOKUP("Sweden",T,lang,FALSE)</f>
        <v>Sweden</v>
      </c>
      <c r="AC40" s="58">
        <f>COUNTIF($S$7:$T$54,"=" &amp; AB40 &amp; "_win")</f>
        <v>1</v>
      </c>
      <c r="AD40" s="58">
        <f>COUNTIF($S$7:$T$54,"=" &amp; AB40 &amp; "_draw")</f>
        <v>0</v>
      </c>
      <c r="AE40" s="58">
        <f>COUNTIF($S$7:$T$54,"=" &amp; AB40 &amp; "_lose")</f>
        <v>1</v>
      </c>
      <c r="AF40" s="58">
        <f>SUMIF($E$7:$E$54,$AB40,$F$7:$F$54) + SUMIF($H$7:$H$54,$AB40,$G$7:$G$54)</f>
        <v>2</v>
      </c>
      <c r="AG40" s="58">
        <f>SUMIF($E$7:$E$54,$AB40,$G$7:$G$54) + SUMIF($H$7:$H$54,$AB40,$F$7:$F$54)</f>
        <v>2</v>
      </c>
      <c r="AH40" s="58">
        <f>(AF40-AG40)*100+AK40*10000+AF40</f>
        <v>30002</v>
      </c>
      <c r="AI40" s="58">
        <f>AF40-AG40</f>
        <v>0</v>
      </c>
      <c r="AJ40" s="58">
        <f>(AI40-AI43)/AI42</f>
        <v>0.4</v>
      </c>
      <c r="AK40" s="58">
        <f>AC40*3+AD40</f>
        <v>3</v>
      </c>
      <c r="AL40" s="58">
        <f>AP40/AP42*1000+AQ40/AQ42*100+AT40/AT42*10+AR40/AR42</f>
        <v>-2.9999999999999996</v>
      </c>
      <c r="AM40" s="58">
        <f>VLOOKUP(AB40,db_fifarank,2,FALSE)/2000000</f>
        <v>4.9899999999999999E-4</v>
      </c>
      <c r="AN40" s="59">
        <f>1000*AK40/AK42+100*AJ40+10*AF40/AF42+1*AL40/AL42+AM40</f>
        <v>475.23268872628421</v>
      </c>
      <c r="AP40" s="61">
        <f>SUMPRODUCT(($S$7:$S$54=AB40&amp;"_win")*($U$7:$U$54))+SUMPRODUCT(($T$7:$T$54=AB40&amp;"_win")*($U$7:$U$54))</f>
        <v>0</v>
      </c>
      <c r="AQ40" s="62">
        <f>SUMPRODUCT(($S$7:$S$54=AB40&amp;"_draw")*($U$7:$U$54))+SUMPRODUCT(($T$7:$T$54=AB40&amp;"_draw")*($U$7:$U$54))</f>
        <v>0</v>
      </c>
      <c r="AR40" s="62">
        <f>SUMPRODUCT(($E$7:$E$54=AB40)*($U$7:$U$54)*($F$7:$F$54))+SUMPRODUCT(($H$7:$H$54=AB40)*($U$7:$U$54)*($G$7:$G$54))</f>
        <v>1</v>
      </c>
      <c r="AS40" s="62">
        <f>SUMPRODUCT(($E$7:$E$54=AB40)*($U$7:$U$54)*($G$7:$G$54))+SUMPRODUCT(($H$7:$H$54=AB40)*($U$7:$U$54)*($F$7:$F$54))</f>
        <v>2</v>
      </c>
      <c r="AT40" s="62">
        <f>AR40-AS40</f>
        <v>-1</v>
      </c>
    </row>
    <row r="41" spans="1:72" ht="15" customHeight="1" x14ac:dyDescent="0.3">
      <c r="A41" s="18">
        <v>35</v>
      </c>
      <c r="B41" s="19" t="str">
        <f t="shared" si="0"/>
        <v>Mon</v>
      </c>
      <c r="C41" s="20" t="str">
        <f t="shared" si="1"/>
        <v>Jun 25, 2018</v>
      </c>
      <c r="D41" s="21">
        <f t="shared" si="8"/>
        <v>0.75</v>
      </c>
      <c r="E41" s="22" t="str">
        <f>AB17</f>
        <v>Iran</v>
      </c>
      <c r="F41" s="23"/>
      <c r="G41" s="24"/>
      <c r="H41" s="67" t="str">
        <f>AB14</f>
        <v>Portugal</v>
      </c>
      <c r="J41" s="72" t="str">
        <f>VLOOKUP(3,AA38:AK41,2,FALSE)</f>
        <v>Sweden</v>
      </c>
      <c r="K41" s="27">
        <f>L41+M41+N41</f>
        <v>2</v>
      </c>
      <c r="L41" s="27">
        <f>VLOOKUP(3,AA38:AK41,3,FALSE)</f>
        <v>1</v>
      </c>
      <c r="M41" s="27">
        <f>VLOOKUP(3,AA38:AK41,4,FALSE)</f>
        <v>0</v>
      </c>
      <c r="N41" s="27">
        <f>VLOOKUP(3,AA38:AK41,5,FALSE)</f>
        <v>1</v>
      </c>
      <c r="O41" s="27" t="str">
        <f>VLOOKUP(3,AA38:AK41,6,FALSE) &amp; " - " &amp; VLOOKUP(3,AA38:AK41,7,FALSE)</f>
        <v>2 - 2</v>
      </c>
      <c r="P41" s="73">
        <f>L41*3+M41</f>
        <v>3</v>
      </c>
      <c r="R41" s="58">
        <f>DATE(2018,6,25)+TIME(7,0,0)+gmt_delta</f>
        <v>43276.75</v>
      </c>
      <c r="S41" s="65" t="str">
        <f t="shared" si="2"/>
        <v/>
      </c>
      <c r="T41" s="65" t="str">
        <f t="shared" si="3"/>
        <v/>
      </c>
      <c r="U41" s="59">
        <f t="shared" si="4"/>
        <v>0</v>
      </c>
      <c r="V41" s="58">
        <f t="shared" si="5"/>
        <v>0</v>
      </c>
      <c r="W41" s="58">
        <f t="shared" si="6"/>
        <v>0</v>
      </c>
      <c r="X41" s="58">
        <f t="shared" si="7"/>
        <v>0</v>
      </c>
      <c r="Y41" s="58" t="str">
        <f t="shared" si="9"/>
        <v/>
      </c>
      <c r="AA41" s="58">
        <f>COUNTIF(AN38:AN41,CONCATENATE("&gt;=",AN41))</f>
        <v>4</v>
      </c>
      <c r="AB41" s="59" t="str">
        <f>VLOOKUP("Korea Republic",T,lang,FALSE)</f>
        <v>Korea Republic</v>
      </c>
      <c r="AC41" s="58">
        <f>COUNTIF($S$7:$T$54,"=" &amp; AB41 &amp; "_win")</f>
        <v>0</v>
      </c>
      <c r="AD41" s="58">
        <f>COUNTIF($S$7:$T$54,"=" &amp; AB41 &amp; "_draw")</f>
        <v>0</v>
      </c>
      <c r="AE41" s="58">
        <f>COUNTIF($S$7:$T$54,"=" &amp; AB41 &amp; "_lose")</f>
        <v>2</v>
      </c>
      <c r="AF41" s="58">
        <f>SUMIF($E$7:$E$54,$AB41,$F$7:$F$54) + SUMIF($H$7:$H$54,$AB41,$G$7:$G$54)</f>
        <v>1</v>
      </c>
      <c r="AG41" s="58">
        <f>SUMIF($E$7:$E$54,$AB41,$G$7:$G$54) + SUMIF($H$7:$H$54,$AB41,$F$7:$F$54)</f>
        <v>3</v>
      </c>
      <c r="AH41" s="58">
        <f>(AF41-AG41)*100+AK41*10000+AF41</f>
        <v>-199</v>
      </c>
      <c r="AI41" s="58">
        <f>AF41-AG41</f>
        <v>-2</v>
      </c>
      <c r="AJ41" s="58">
        <f>(AI41-AI43)/AI42</f>
        <v>0</v>
      </c>
      <c r="AK41" s="58">
        <f>AC41*3+AD41</f>
        <v>0</v>
      </c>
      <c r="AL41" s="58">
        <f>AP41/AP42*1000+AQ41/AQ42*100+AT41/AT42*10+AR41/AR42</f>
        <v>0</v>
      </c>
      <c r="AM41" s="58">
        <f>VLOOKUP(AB41,db_fifarank,2,FALSE)/2000000</f>
        <v>2.8499999999999999E-4</v>
      </c>
      <c r="AN41" s="59">
        <f>1000*AK41/AK42+100*AJ41+10*AF41/AF42+1*AL41/AL42+AM41</f>
        <v>3.3336183333333334</v>
      </c>
      <c r="AP41" s="61">
        <f>SUMPRODUCT(($S$7:$S$54=AB41&amp;"_win")*($U$7:$U$54))+SUMPRODUCT(($T$7:$T$54=AB41&amp;"_win")*($U$7:$U$54))</f>
        <v>0</v>
      </c>
      <c r="AQ41" s="62">
        <f>SUMPRODUCT(($S$7:$S$54=AB41&amp;"_draw")*($U$7:$U$54))+SUMPRODUCT(($T$7:$T$54=AB41&amp;"_draw")*($U$7:$U$54))</f>
        <v>0</v>
      </c>
      <c r="AR41" s="62">
        <f>SUMPRODUCT(($E$7:$E$54=AB41)*($U$7:$U$54)*($F$7:$F$54))+SUMPRODUCT(($H$7:$H$54=AB41)*($U$7:$U$54)*($G$7:$G$54))</f>
        <v>0</v>
      </c>
      <c r="AS41" s="62">
        <f>SUMPRODUCT(($E$7:$E$54=AB41)*($U$7:$U$54)*($G$7:$G$54))+SUMPRODUCT(($H$7:$H$54=AB41)*($U$7:$U$54)*($F$7:$F$54))</f>
        <v>0</v>
      </c>
      <c r="AT41" s="62">
        <f>AR41-AS41</f>
        <v>0</v>
      </c>
      <c r="BJ41" s="120" t="str">
        <f>INDEX(T,102,lang)</f>
        <v>World Champion 2018</v>
      </c>
      <c r="BK41" s="120"/>
      <c r="BL41" s="120"/>
      <c r="BM41" s="120"/>
      <c r="BN41" s="120"/>
      <c r="BO41" s="122" t="str">
        <f>S85</f>
        <v/>
      </c>
      <c r="BP41" s="122"/>
      <c r="BQ41" s="122"/>
      <c r="BR41" s="122"/>
      <c r="BS41" s="122"/>
      <c r="BT41" s="122"/>
    </row>
    <row r="42" spans="1:72" ht="15" customHeight="1" x14ac:dyDescent="0.3">
      <c r="A42" s="18">
        <v>36</v>
      </c>
      <c r="B42" s="19" t="str">
        <f t="shared" si="0"/>
        <v>Mon</v>
      </c>
      <c r="C42" s="20" t="str">
        <f t="shared" si="1"/>
        <v>Jun 25, 2018</v>
      </c>
      <c r="D42" s="21">
        <f t="shared" si="8"/>
        <v>0.75</v>
      </c>
      <c r="E42" s="22" t="str">
        <f>AB15</f>
        <v>Spain</v>
      </c>
      <c r="F42" s="23"/>
      <c r="G42" s="24"/>
      <c r="H42" s="67" t="str">
        <f>AB16</f>
        <v>Morocco</v>
      </c>
      <c r="J42" s="74" t="str">
        <f>VLOOKUP(4,AA38:AK41,2,FALSE)</f>
        <v>Korea Republic</v>
      </c>
      <c r="K42" s="75">
        <f>L42+M42+N42</f>
        <v>2</v>
      </c>
      <c r="L42" s="75">
        <f>VLOOKUP(4,AA38:AK41,3,FALSE)</f>
        <v>0</v>
      </c>
      <c r="M42" s="75">
        <f>VLOOKUP(4,AA38:AK41,4,FALSE)</f>
        <v>0</v>
      </c>
      <c r="N42" s="75">
        <f>VLOOKUP(4,AA38:AK41,5,FALSE)</f>
        <v>2</v>
      </c>
      <c r="O42" s="75" t="str">
        <f>VLOOKUP(4,AA38:AK41,6,FALSE) &amp; " - " &amp; VLOOKUP(4,AA38:AK41,7,FALSE)</f>
        <v>1 - 3</v>
      </c>
      <c r="P42" s="76">
        <f>L42*3+M42</f>
        <v>0</v>
      </c>
      <c r="R42" s="58">
        <f>DATE(2018,6,25)+TIME(7,0,0)+gmt_delta</f>
        <v>43276.75</v>
      </c>
      <c r="S42" s="65" t="str">
        <f t="shared" si="2"/>
        <v/>
      </c>
      <c r="T42" s="65" t="str">
        <f t="shared" si="3"/>
        <v/>
      </c>
      <c r="U42" s="59">
        <f t="shared" si="4"/>
        <v>0</v>
      </c>
      <c r="V42" s="58">
        <f t="shared" si="5"/>
        <v>0</v>
      </c>
      <c r="W42" s="58">
        <f t="shared" si="6"/>
        <v>0</v>
      </c>
      <c r="X42" s="58">
        <f t="shared" si="7"/>
        <v>0</v>
      </c>
      <c r="Y42" s="58" t="str">
        <f t="shared" si="9"/>
        <v/>
      </c>
      <c r="AC42" s="58">
        <f t="shared" ref="AC42:AL42" si="15">MAX(AC38:AC41)-MIN(AC38:AC41)+1</f>
        <v>3</v>
      </c>
      <c r="AD42" s="58">
        <f t="shared" si="15"/>
        <v>1</v>
      </c>
      <c r="AE42" s="58">
        <f t="shared" si="15"/>
        <v>3</v>
      </c>
      <c r="AF42" s="58">
        <f t="shared" si="15"/>
        <v>3</v>
      </c>
      <c r="AG42" s="58">
        <f t="shared" si="15"/>
        <v>3</v>
      </c>
      <c r="AH42" s="58">
        <f>MAX(AH38:AH41)-AH43+1</f>
        <v>60403</v>
      </c>
      <c r="AI42" s="58">
        <f>MAX(AI38:AI41)-AI43+1</f>
        <v>5</v>
      </c>
      <c r="AK42" s="58">
        <f t="shared" si="15"/>
        <v>7</v>
      </c>
      <c r="AL42" s="58">
        <f t="shared" si="15"/>
        <v>508</v>
      </c>
      <c r="AP42" s="58">
        <f>MAX(AP38:AP41)-MIN(AP38:AP41)+1</f>
        <v>2</v>
      </c>
      <c r="AQ42" s="58">
        <f>MAX(AQ38:AQ41)-MIN(AQ38:AQ41)+1</f>
        <v>1</v>
      </c>
      <c r="AR42" s="58">
        <f>MAX(AR38:AR41)-MIN(AR38:AR41)+1</f>
        <v>3</v>
      </c>
      <c r="AS42" s="58">
        <f>MAX(AS38:AS41)-MIN(AS38:AS41)+1</f>
        <v>3</v>
      </c>
      <c r="AT42" s="58">
        <f>MAX(AT38:AT41)-MIN(AT38:AT41)+1</f>
        <v>3</v>
      </c>
      <c r="BJ42" s="121"/>
      <c r="BK42" s="121"/>
      <c r="BL42" s="121"/>
      <c r="BM42" s="121"/>
      <c r="BN42" s="121"/>
      <c r="BO42" s="123"/>
      <c r="BP42" s="123"/>
      <c r="BQ42" s="123"/>
      <c r="BR42" s="123"/>
      <c r="BS42" s="123"/>
      <c r="BT42" s="123"/>
    </row>
    <row r="43" spans="1:72" ht="15" customHeight="1" x14ac:dyDescent="0.3">
      <c r="A43" s="18">
        <v>37</v>
      </c>
      <c r="B43" s="19" t="str">
        <f t="shared" si="0"/>
        <v>Tue</v>
      </c>
      <c r="C43" s="20" t="str">
        <f t="shared" si="1"/>
        <v>Jun 26, 2018</v>
      </c>
      <c r="D43" s="21">
        <f t="shared" si="8"/>
        <v>0.58333333333333337</v>
      </c>
      <c r="E43" s="22" t="str">
        <f>AB23</f>
        <v>Denmark</v>
      </c>
      <c r="F43" s="23"/>
      <c r="G43" s="24"/>
      <c r="H43" s="67" t="str">
        <f>AB20</f>
        <v>France</v>
      </c>
      <c r="R43" s="58">
        <f>DATE(2018,6,26)+TIME(3,0,0)+gmt_delta</f>
        <v>43277.583333333336</v>
      </c>
      <c r="S43" s="65" t="str">
        <f t="shared" si="2"/>
        <v/>
      </c>
      <c r="T43" s="65" t="str">
        <f t="shared" si="3"/>
        <v/>
      </c>
      <c r="U43" s="59">
        <f t="shared" si="4"/>
        <v>0</v>
      </c>
      <c r="V43" s="58">
        <f t="shared" si="5"/>
        <v>0</v>
      </c>
      <c r="W43" s="58">
        <f t="shared" si="6"/>
        <v>0</v>
      </c>
      <c r="X43" s="58">
        <f t="shared" si="7"/>
        <v>0</v>
      </c>
      <c r="Y43" s="58" t="str">
        <f t="shared" si="9"/>
        <v/>
      </c>
      <c r="AH43" s="58">
        <f>MIN(AH38:AH41)</f>
        <v>-199</v>
      </c>
      <c r="AI43" s="58">
        <f>MIN(AI38:AI41)</f>
        <v>-2</v>
      </c>
      <c r="AY43" s="80"/>
    </row>
    <row r="44" spans="1:72" ht="15" customHeight="1" x14ac:dyDescent="0.3">
      <c r="A44" s="18">
        <v>38</v>
      </c>
      <c r="B44" s="19" t="str">
        <f t="shared" si="0"/>
        <v>Tue</v>
      </c>
      <c r="C44" s="20" t="str">
        <f t="shared" si="1"/>
        <v>Jun 26, 2018</v>
      </c>
      <c r="D44" s="21">
        <f t="shared" si="8"/>
        <v>0.58333333333333337</v>
      </c>
      <c r="E44" s="22" t="str">
        <f>AB21</f>
        <v>Australia</v>
      </c>
      <c r="F44" s="23"/>
      <c r="G44" s="24"/>
      <c r="H44" s="67" t="str">
        <f>AB22</f>
        <v>Peru</v>
      </c>
      <c r="J44" s="77" t="str">
        <f>INDEX(T,9,lang) &amp; " " &amp; "G"</f>
        <v>Group G</v>
      </c>
      <c r="K44" s="78" t="str">
        <f>INDEX(T,10,lang)</f>
        <v>PL</v>
      </c>
      <c r="L44" s="78" t="str">
        <f>INDEX(T,11,lang)</f>
        <v>W</v>
      </c>
      <c r="M44" s="78" t="str">
        <f>INDEX(T,12,lang)</f>
        <v>DRAW</v>
      </c>
      <c r="N44" s="78" t="str">
        <f>INDEX(T,13,lang)</f>
        <v>L</v>
      </c>
      <c r="O44" s="78" t="str">
        <f>INDEX(T,14,lang)</f>
        <v>GF - GA</v>
      </c>
      <c r="P44" s="79" t="str">
        <f>INDEX(T,15,lang)</f>
        <v>PNT</v>
      </c>
      <c r="R44" s="58">
        <f>DATE(2018,6,26)+TIME(3,0,0)+gmt_delta</f>
        <v>43277.583333333336</v>
      </c>
      <c r="S44" s="65" t="str">
        <f t="shared" si="2"/>
        <v/>
      </c>
      <c r="T44" s="65" t="str">
        <f t="shared" si="3"/>
        <v/>
      </c>
      <c r="U44" s="59">
        <f t="shared" si="4"/>
        <v>0</v>
      </c>
      <c r="V44" s="58">
        <f t="shared" si="5"/>
        <v>0</v>
      </c>
      <c r="W44" s="58">
        <f t="shared" si="6"/>
        <v>0</v>
      </c>
      <c r="X44" s="58">
        <f t="shared" si="7"/>
        <v>0</v>
      </c>
      <c r="Y44" s="58" t="str">
        <f t="shared" si="9"/>
        <v/>
      </c>
      <c r="AA44" s="58">
        <f>COUNTIF(AN44:AN47,CONCATENATE("&gt;=",AN44))</f>
        <v>1</v>
      </c>
      <c r="AB44" s="59" t="str">
        <f>VLOOKUP("Belgium",T,lang,FALSE)</f>
        <v>Belgium</v>
      </c>
      <c r="AC44" s="58">
        <f>COUNTIF($S$7:$T$54,"=" &amp; AB44 &amp; "_win")</f>
        <v>2</v>
      </c>
      <c r="AD44" s="58">
        <f>COUNTIF($S$7:$T$54,"=" &amp; AB44 &amp; "_draw")</f>
        <v>0</v>
      </c>
      <c r="AE44" s="58">
        <f>COUNTIF($S$7:$T$54,"=" &amp; AB44 &amp; "_lose")</f>
        <v>0</v>
      </c>
      <c r="AF44" s="58">
        <f>SUMIF($E$7:$E$54,$AB44,$F$7:$F$54) + SUMIF($H$7:$H$54,$AB44,$G$7:$G$54)</f>
        <v>8</v>
      </c>
      <c r="AG44" s="58">
        <f>SUMIF($E$7:$E$54,$AB44,$G$7:$G$54) + SUMIF($H$7:$H$54,$AB44,$F$7:$F$54)</f>
        <v>2</v>
      </c>
      <c r="AH44" s="58">
        <f>(AF44-AG44)*100+AK44*10000+AF44</f>
        <v>60608</v>
      </c>
      <c r="AI44" s="58">
        <f>AF44-AG44</f>
        <v>6</v>
      </c>
      <c r="AJ44" s="58">
        <f>(AI44-AI49)/AI48</f>
        <v>0.93333333333333335</v>
      </c>
      <c r="AK44" s="58">
        <f>AC44*3+AD44</f>
        <v>6</v>
      </c>
      <c r="AL44" s="58">
        <f>AP44/AP48*1000+AQ44/AQ48*100+AT44/AT48*10+AR44/AR48</f>
        <v>0</v>
      </c>
      <c r="AM44" s="58">
        <f>VLOOKUP(AB44,db_fifarank,2,FALSE)/2000000</f>
        <v>6.625E-4</v>
      </c>
      <c r="AN44" s="59">
        <f>1000*AK44/AK48+100*AJ44+10*AF44/AF48+1*AL44/AL48+AM44</f>
        <v>960.47685297619046</v>
      </c>
      <c r="AO44" s="60" t="str">
        <f>IF(SUM(AC44:AE47)=12,J45,INDEX(T,82,lang))</f>
        <v>1G</v>
      </c>
      <c r="AP44" s="61">
        <f>SUMPRODUCT(($S$7:$S$54=AB44&amp;"_win")*($U$7:$U$54))+SUMPRODUCT(($T$7:$T$54=AB44&amp;"_win")*($U$7:$U$54))</f>
        <v>0</v>
      </c>
      <c r="AQ44" s="62">
        <f>SUMPRODUCT(($S$7:$S$54=AB44&amp;"_draw")*($U$7:$U$54))+SUMPRODUCT(($T$7:$T$54=AB44&amp;"_draw")*($U$7:$U$54))</f>
        <v>0</v>
      </c>
      <c r="AR44" s="62">
        <f>SUMPRODUCT(($E$7:$E$54=AB44)*($U$7:$U$54)*($F$7:$F$54))+SUMPRODUCT(($H$7:$H$54=AB44)*($U$7:$U$54)*($G$7:$G$54))</f>
        <v>0</v>
      </c>
      <c r="AS44" s="62">
        <f>SUMPRODUCT(($E$7:$E$54=AB44)*($U$7:$U$54)*($G$7:$G$54))+SUMPRODUCT(($H$7:$H$54=AB44)*($U$7:$U$54)*($F$7:$F$54))</f>
        <v>0</v>
      </c>
      <c r="AT44" s="62">
        <f>AR44-AS44</f>
        <v>0</v>
      </c>
    </row>
    <row r="45" spans="1:72" ht="15" customHeight="1" x14ac:dyDescent="0.3">
      <c r="A45" s="18">
        <v>39</v>
      </c>
      <c r="B45" s="19" t="str">
        <f t="shared" si="0"/>
        <v>Tue</v>
      </c>
      <c r="C45" s="20" t="str">
        <f t="shared" si="1"/>
        <v>Jun 26, 2018</v>
      </c>
      <c r="D45" s="21">
        <f t="shared" si="8"/>
        <v>0.75</v>
      </c>
      <c r="E45" s="22" t="str">
        <f>AB29</f>
        <v>Nigeria</v>
      </c>
      <c r="F45" s="23"/>
      <c r="G45" s="24"/>
      <c r="H45" s="67" t="str">
        <f>AB26</f>
        <v>Argentina</v>
      </c>
      <c r="J45" s="69" t="str">
        <f>VLOOKUP(1,AA44:AK47,2,FALSE)</f>
        <v>Belgium</v>
      </c>
      <c r="K45" s="70">
        <f>L45+M45+N45</f>
        <v>2</v>
      </c>
      <c r="L45" s="70">
        <f>VLOOKUP(1,AA44:AK47,3,FALSE)</f>
        <v>2</v>
      </c>
      <c r="M45" s="70">
        <f>VLOOKUP(1,AA44:AK47,4,FALSE)</f>
        <v>0</v>
      </c>
      <c r="N45" s="70">
        <f>VLOOKUP(1,AA44:AK47,5,FALSE)</f>
        <v>0</v>
      </c>
      <c r="O45" s="70" t="str">
        <f>VLOOKUP(1,AA44:AK47,6,FALSE) &amp; " - " &amp; VLOOKUP(1,AA44:AK47,7,FALSE)</f>
        <v>8 - 2</v>
      </c>
      <c r="P45" s="71">
        <f>L45*3+M45</f>
        <v>6</v>
      </c>
      <c r="R45" s="58">
        <f>DATE(2018,6,26)+TIME(7,0,0)+gmt_delta</f>
        <v>43277.75</v>
      </c>
      <c r="S45" s="65" t="str">
        <f t="shared" si="2"/>
        <v/>
      </c>
      <c r="T45" s="65" t="str">
        <f t="shared" si="3"/>
        <v/>
      </c>
      <c r="U45" s="59">
        <f t="shared" si="4"/>
        <v>0</v>
      </c>
      <c r="V45" s="58">
        <f t="shared" si="5"/>
        <v>0</v>
      </c>
      <c r="W45" s="58">
        <f t="shared" si="6"/>
        <v>0</v>
      </c>
      <c r="X45" s="58">
        <f t="shared" si="7"/>
        <v>1</v>
      </c>
      <c r="Y45" s="58" t="str">
        <f t="shared" si="9"/>
        <v/>
      </c>
      <c r="AA45" s="58">
        <f>COUNTIF(AN44:AN47,CONCATENATE("&gt;=",AN45))</f>
        <v>4</v>
      </c>
      <c r="AB45" s="59" t="str">
        <f>VLOOKUP("Panama",T,lang,FALSE)</f>
        <v>Panama</v>
      </c>
      <c r="AC45" s="58">
        <f>COUNTIF($S$7:$T$54,"=" &amp; AB45 &amp; "_win")</f>
        <v>0</v>
      </c>
      <c r="AD45" s="58">
        <f>COUNTIF($S$7:$T$54,"=" &amp; AB45 &amp; "_draw")</f>
        <v>0</v>
      </c>
      <c r="AE45" s="58">
        <f>COUNTIF($S$7:$T$54,"=" &amp; AB45 &amp; "_lose")</f>
        <v>2</v>
      </c>
      <c r="AF45" s="58">
        <f>SUMIF($E$7:$E$54,$AB45,$F$7:$F$54) + SUMIF($H$7:$H$54,$AB45,$G$7:$G$54)</f>
        <v>1</v>
      </c>
      <c r="AG45" s="58">
        <f>SUMIF($E$7:$E$54,$AB45,$G$7:$G$54) + SUMIF($H$7:$H$54,$AB45,$F$7:$F$54)</f>
        <v>9</v>
      </c>
      <c r="AH45" s="58">
        <f>(AF45-AG45)*100+AK45*10000+AF45</f>
        <v>-799</v>
      </c>
      <c r="AI45" s="58">
        <f>AF45-AG45</f>
        <v>-8</v>
      </c>
      <c r="AJ45" s="58">
        <f>(AI45-AI49)/AI48</f>
        <v>0</v>
      </c>
      <c r="AK45" s="58">
        <f>AC45*3+AD45</f>
        <v>0</v>
      </c>
      <c r="AL45" s="58">
        <f>AP45/AP48*1000+AQ45/AQ48*100+AT45/AT48*10+AR45/AR48</f>
        <v>0</v>
      </c>
      <c r="AM45" s="58">
        <f>VLOOKUP(AB45,db_fifarank,2,FALSE)/2000000</f>
        <v>3.1050000000000001E-4</v>
      </c>
      <c r="AN45" s="59">
        <f>1000*AK45/AK48+100*AJ45+10*AF45/AF48+1*AL45/AL48+AM45</f>
        <v>1.2503105000000001</v>
      </c>
      <c r="AO45" s="60" t="str">
        <f>IF(SUM(AC44:AE47)=12,J46,INDEX(T,83,lang))</f>
        <v>2G</v>
      </c>
      <c r="AP45" s="61">
        <f>SUMPRODUCT(($S$7:$S$54=AB45&amp;"_win")*($U$7:$U$54))+SUMPRODUCT(($T$7:$T$54=AB45&amp;"_win")*($U$7:$U$54))</f>
        <v>0</v>
      </c>
      <c r="AQ45" s="62">
        <f>SUMPRODUCT(($S$7:$S$54=AB45&amp;"_draw")*($U$7:$U$54))+SUMPRODUCT(($T$7:$T$54=AB45&amp;"_draw")*($U$7:$U$54))</f>
        <v>0</v>
      </c>
      <c r="AR45" s="62">
        <f>SUMPRODUCT(($E$7:$E$54=AB45)*($U$7:$U$54)*($F$7:$F$54))+SUMPRODUCT(($H$7:$H$54=AB45)*($U$7:$U$54)*($G$7:$G$54))</f>
        <v>0</v>
      </c>
      <c r="AS45" s="62">
        <f>SUMPRODUCT(($E$7:$E$54=AB45)*($U$7:$U$54)*($G$7:$G$54))+SUMPRODUCT(($H$7:$H$54=AB45)*($U$7:$U$54)*($F$7:$F$54))</f>
        <v>0</v>
      </c>
      <c r="AT45" s="62">
        <f>AR45-AS45</f>
        <v>0</v>
      </c>
    </row>
    <row r="46" spans="1:72" ht="15" customHeight="1" x14ac:dyDescent="0.3">
      <c r="A46" s="18">
        <v>40</v>
      </c>
      <c r="B46" s="19" t="str">
        <f t="shared" si="0"/>
        <v>Tue</v>
      </c>
      <c r="C46" s="20" t="str">
        <f t="shared" si="1"/>
        <v>Jun 26, 2018</v>
      </c>
      <c r="D46" s="21">
        <f t="shared" si="8"/>
        <v>0.75</v>
      </c>
      <c r="E46" s="22" t="str">
        <f>AB27</f>
        <v>Iceland</v>
      </c>
      <c r="F46" s="23"/>
      <c r="G46" s="24"/>
      <c r="H46" s="67" t="str">
        <f>AB28</f>
        <v>Croatia</v>
      </c>
      <c r="J46" s="72" t="str">
        <f>VLOOKUP(2,AA44:AK47,2,FALSE)</f>
        <v>England</v>
      </c>
      <c r="K46" s="27">
        <f>L46+M46+N46</f>
        <v>2</v>
      </c>
      <c r="L46" s="27">
        <f>VLOOKUP(2,AA44:AK47,3,FALSE)</f>
        <v>2</v>
      </c>
      <c r="M46" s="27">
        <f>VLOOKUP(2,AA44:AK47,4,FALSE)</f>
        <v>0</v>
      </c>
      <c r="N46" s="27">
        <f>VLOOKUP(2,AA44:AK47,5,FALSE)</f>
        <v>0</v>
      </c>
      <c r="O46" s="27" t="str">
        <f>VLOOKUP(2,AA44:AK47,6,FALSE) &amp; " - " &amp; VLOOKUP(2,AA44:AK47,7,FALSE)</f>
        <v>8 - 2</v>
      </c>
      <c r="P46" s="73">
        <f>L46*3+M46</f>
        <v>6</v>
      </c>
      <c r="R46" s="58">
        <f>DATE(2018,6,26)+TIME(7,0,0)+gmt_delta</f>
        <v>43277.75</v>
      </c>
      <c r="S46" s="65" t="str">
        <f t="shared" si="2"/>
        <v/>
      </c>
      <c r="T46" s="65" t="str">
        <f t="shared" si="3"/>
        <v/>
      </c>
      <c r="U46" s="59">
        <f t="shared" si="4"/>
        <v>0</v>
      </c>
      <c r="V46" s="58">
        <f t="shared" si="5"/>
        <v>0</v>
      </c>
      <c r="W46" s="58">
        <f t="shared" si="6"/>
        <v>0</v>
      </c>
      <c r="X46" s="58">
        <f t="shared" si="7"/>
        <v>0</v>
      </c>
      <c r="Y46" s="58" t="str">
        <f t="shared" si="9"/>
        <v/>
      </c>
      <c r="AA46" s="58">
        <f>COUNTIF(AN44:AN47,CONCATENATE("&gt;=",AN46))</f>
        <v>3</v>
      </c>
      <c r="AB46" s="59" t="str">
        <f>VLOOKUP("Tunisia",T,lang,FALSE)</f>
        <v>Tunisia</v>
      </c>
      <c r="AC46" s="58">
        <f>COUNTIF($S$7:$T$54,"=" &amp; AB46 &amp; "_win")</f>
        <v>0</v>
      </c>
      <c r="AD46" s="58">
        <f>COUNTIF($S$7:$T$54,"=" &amp; AB46 &amp; "_draw")</f>
        <v>0</v>
      </c>
      <c r="AE46" s="58">
        <f>COUNTIF($S$7:$T$54,"=" &amp; AB46 &amp; "_lose")</f>
        <v>2</v>
      </c>
      <c r="AF46" s="58">
        <f>SUMIF($E$7:$E$54,$AB46,$F$7:$F$54) + SUMIF($H$7:$H$54,$AB46,$G$7:$G$54)</f>
        <v>3</v>
      </c>
      <c r="AG46" s="58">
        <f>SUMIF($E$7:$E$54,$AB46,$G$7:$G$54) + SUMIF($H$7:$H$54,$AB46,$F$7:$F$54)</f>
        <v>7</v>
      </c>
      <c r="AH46" s="58">
        <f>(AF46-AG46)*100+AK46*10000+AF46</f>
        <v>-397</v>
      </c>
      <c r="AI46" s="58">
        <f>AF46-AG46</f>
        <v>-4</v>
      </c>
      <c r="AJ46" s="58">
        <f>(AI46-AI49)/AI48</f>
        <v>0.26666666666666666</v>
      </c>
      <c r="AK46" s="58">
        <f>AC46*3+AD46</f>
        <v>0</v>
      </c>
      <c r="AL46" s="58">
        <f>AP46/AP48*1000+AQ46/AQ48*100+AT46/AT48*10+AR46/AR48</f>
        <v>0</v>
      </c>
      <c r="AM46" s="58">
        <f>VLOOKUP(AB46,db_fifarank,2,FALSE)/2000000</f>
        <v>4.1899999999999999E-4</v>
      </c>
      <c r="AN46" s="59">
        <f>1000*AK46/AK48+100*AJ46+10*AF46/AF48+1*AL46/AL48+AM46</f>
        <v>30.417085666666669</v>
      </c>
      <c r="AP46" s="61">
        <f>SUMPRODUCT(($S$7:$S$54=AB46&amp;"_win")*($U$7:$U$54))+SUMPRODUCT(($T$7:$T$54=AB46&amp;"_win")*($U$7:$U$54))</f>
        <v>0</v>
      </c>
      <c r="AQ46" s="62">
        <f>SUMPRODUCT(($S$7:$S$54=AB46&amp;"_draw")*($U$7:$U$54))+SUMPRODUCT(($T$7:$T$54=AB46&amp;"_draw")*($U$7:$U$54))</f>
        <v>0</v>
      </c>
      <c r="AR46" s="62">
        <f>SUMPRODUCT(($E$7:$E$54=AB46)*($U$7:$U$54)*($F$7:$F$54))+SUMPRODUCT(($H$7:$H$54=AB46)*($U$7:$U$54)*($G$7:$G$54))</f>
        <v>0</v>
      </c>
      <c r="AS46" s="62">
        <f>SUMPRODUCT(($E$7:$E$54=AB46)*($U$7:$U$54)*($G$7:$G$54))+SUMPRODUCT(($H$7:$H$54=AB46)*($U$7:$U$54)*($F$7:$F$54))</f>
        <v>0</v>
      </c>
      <c r="AT46" s="62">
        <f>AR46-AS46</f>
        <v>0</v>
      </c>
      <c r="AY46" s="109" t="s">
        <v>2224</v>
      </c>
      <c r="AZ46" s="110"/>
      <c r="BA46" s="110"/>
      <c r="BB46" s="111"/>
    </row>
    <row r="47" spans="1:72" ht="15" customHeight="1" x14ac:dyDescent="0.3">
      <c r="A47" s="18">
        <v>41</v>
      </c>
      <c r="B47" s="19" t="str">
        <f t="shared" si="0"/>
        <v>Wed</v>
      </c>
      <c r="C47" s="20" t="str">
        <f t="shared" si="1"/>
        <v>Jun 27, 2018</v>
      </c>
      <c r="D47" s="21">
        <f t="shared" si="8"/>
        <v>0.75</v>
      </c>
      <c r="E47" s="22" t="str">
        <f>AB35</f>
        <v>Serbia</v>
      </c>
      <c r="F47" s="23"/>
      <c r="G47" s="24"/>
      <c r="H47" s="67" t="str">
        <f>AB32</f>
        <v>Brazil</v>
      </c>
      <c r="J47" s="72" t="str">
        <f>VLOOKUP(3,AA44:AK47,2,FALSE)</f>
        <v>Tunisia</v>
      </c>
      <c r="K47" s="27">
        <f>L47+M47+N47</f>
        <v>2</v>
      </c>
      <c r="L47" s="27">
        <f>VLOOKUP(3,AA44:AK47,3,FALSE)</f>
        <v>0</v>
      </c>
      <c r="M47" s="27">
        <f>VLOOKUP(3,AA44:AK47,4,FALSE)</f>
        <v>0</v>
      </c>
      <c r="N47" s="27">
        <f>VLOOKUP(3,AA44:AK47,5,FALSE)</f>
        <v>2</v>
      </c>
      <c r="O47" s="27" t="str">
        <f>VLOOKUP(3,AA44:AK47,6,FALSE) &amp; " - " &amp; VLOOKUP(3,AA44:AK47,7,FALSE)</f>
        <v>3 - 7</v>
      </c>
      <c r="P47" s="73">
        <f>L47*3+M47</f>
        <v>0</v>
      </c>
      <c r="R47" s="58">
        <f>DATE(2018,6,27)+TIME(7,0,0)+gmt_delta</f>
        <v>43278.75</v>
      </c>
      <c r="S47" s="65" t="str">
        <f t="shared" si="2"/>
        <v/>
      </c>
      <c r="T47" s="65" t="str">
        <f t="shared" si="3"/>
        <v/>
      </c>
      <c r="U47" s="59">
        <f t="shared" si="4"/>
        <v>0</v>
      </c>
      <c r="V47" s="58">
        <f t="shared" si="5"/>
        <v>0</v>
      </c>
      <c r="W47" s="58">
        <f t="shared" si="6"/>
        <v>0</v>
      </c>
      <c r="X47" s="58">
        <f t="shared" si="7"/>
        <v>0</v>
      </c>
      <c r="Y47" s="58" t="str">
        <f t="shared" si="9"/>
        <v/>
      </c>
      <c r="AA47" s="58">
        <f>COUNTIF(AN44:AN47,CONCATENATE("&gt;=",AN47))</f>
        <v>2</v>
      </c>
      <c r="AB47" s="59" t="str">
        <f>VLOOKUP("England",T,lang,FALSE)</f>
        <v>England</v>
      </c>
      <c r="AC47" s="58">
        <f>COUNTIF($S$7:$T$54,"=" &amp; AB47 &amp; "_win")</f>
        <v>2</v>
      </c>
      <c r="AD47" s="58">
        <f>COUNTIF($S$7:$T$54,"=" &amp; AB47 &amp; "_draw")</f>
        <v>0</v>
      </c>
      <c r="AE47" s="58">
        <f>COUNTIF($S$7:$T$54,"=" &amp; AB47 &amp; "_lose")</f>
        <v>0</v>
      </c>
      <c r="AF47" s="58">
        <f>SUMIF($E$7:$E$54,$AB47,$F$7:$F$54) + SUMIF($H$7:$H$54,$AB47,$G$7:$G$54)</f>
        <v>8</v>
      </c>
      <c r="AG47" s="58">
        <f>SUMIF($E$7:$E$54,$AB47,$G$7:$G$54) + SUMIF($H$7:$H$54,$AB47,$F$7:$F$54)</f>
        <v>2</v>
      </c>
      <c r="AH47" s="58">
        <f>(AF47-AG47)*100+AK47*10000+AF47</f>
        <v>60608</v>
      </c>
      <c r="AI47" s="58">
        <f>AF47-AG47</f>
        <v>6</v>
      </c>
      <c r="AJ47" s="58">
        <f>(AI47-AI49)/AI48</f>
        <v>0.93333333333333335</v>
      </c>
      <c r="AK47" s="58">
        <f>AC47*3+AD47</f>
        <v>6</v>
      </c>
      <c r="AL47" s="58">
        <f>AP47/AP48*1000+AQ47/AQ48*100+AT47/AT48*10+AR47/AR48</f>
        <v>0</v>
      </c>
      <c r="AM47" s="58">
        <f>VLOOKUP(AB47,db_fifarank,2,FALSE)/2000000</f>
        <v>5.2349999999999999E-4</v>
      </c>
      <c r="AN47" s="59">
        <f>1000*AK47/AK48+100*AJ47+10*AF47/AF48+1*AL47/AL48+AM47</f>
        <v>960.47671397619047</v>
      </c>
      <c r="AP47" s="61">
        <f>SUMPRODUCT(($S$7:$S$54=AB47&amp;"_win")*($U$7:$U$54))+SUMPRODUCT(($T$7:$T$54=AB47&amp;"_win")*($U$7:$U$54))</f>
        <v>0</v>
      </c>
      <c r="AQ47" s="62">
        <f>SUMPRODUCT(($S$7:$S$54=AB47&amp;"_draw")*($U$7:$U$54))+SUMPRODUCT(($T$7:$T$54=AB47&amp;"_draw")*($U$7:$U$54))</f>
        <v>0</v>
      </c>
      <c r="AR47" s="62">
        <f>SUMPRODUCT(($E$7:$E$54=AB47)*($U$7:$U$54)*($F$7:$F$54))+SUMPRODUCT(($H$7:$H$54=AB47)*($U$7:$U$54)*($G$7:$G$54))</f>
        <v>0</v>
      </c>
      <c r="AS47" s="62">
        <f>SUMPRODUCT(($E$7:$E$54=AB47)*($U$7:$U$54)*($G$7:$G$54))+SUMPRODUCT(($H$7:$H$54=AB47)*($U$7:$U$54)*($F$7:$F$54))</f>
        <v>0</v>
      </c>
      <c r="AT47" s="62">
        <f>AR47-AS47</f>
        <v>0</v>
      </c>
      <c r="AY47" s="112"/>
      <c r="AZ47" s="113"/>
      <c r="BA47" s="113"/>
      <c r="BB47" s="114"/>
    </row>
    <row r="48" spans="1:72" ht="15" customHeight="1" x14ac:dyDescent="0.3">
      <c r="A48" s="18">
        <v>42</v>
      </c>
      <c r="B48" s="19" t="str">
        <f t="shared" si="0"/>
        <v>Wed</v>
      </c>
      <c r="C48" s="20" t="str">
        <f t="shared" si="1"/>
        <v>Jun 27, 2018</v>
      </c>
      <c r="D48" s="21">
        <f t="shared" si="8"/>
        <v>0.75</v>
      </c>
      <c r="E48" s="22" t="str">
        <f>AB33</f>
        <v>Switzerland</v>
      </c>
      <c r="F48" s="23"/>
      <c r="G48" s="24"/>
      <c r="H48" s="67" t="str">
        <f>AB34</f>
        <v>Costa Rica</v>
      </c>
      <c r="J48" s="74" t="str">
        <f>VLOOKUP(4,AA44:AK47,2,FALSE)</f>
        <v>Panama</v>
      </c>
      <c r="K48" s="75">
        <f>L48+M48+N48</f>
        <v>2</v>
      </c>
      <c r="L48" s="75">
        <f>VLOOKUP(4,AA44:AK47,3,FALSE)</f>
        <v>0</v>
      </c>
      <c r="M48" s="75">
        <f>VLOOKUP(4,AA44:AK47,4,FALSE)</f>
        <v>0</v>
      </c>
      <c r="N48" s="75">
        <f>VLOOKUP(4,AA44:AK47,5,FALSE)</f>
        <v>2</v>
      </c>
      <c r="O48" s="75" t="str">
        <f>VLOOKUP(4,AA44:AK47,6,FALSE) &amp; " - " &amp; VLOOKUP(4,AA44:AK47,7,FALSE)</f>
        <v>1 - 9</v>
      </c>
      <c r="P48" s="76">
        <f>L48*3+M48</f>
        <v>0</v>
      </c>
      <c r="R48" s="58">
        <f>DATE(2018,6,27)+TIME(7,0,0)+gmt_delta</f>
        <v>43278.75</v>
      </c>
      <c r="S48" s="65" t="str">
        <f t="shared" si="2"/>
        <v/>
      </c>
      <c r="T48" s="65" t="str">
        <f t="shared" si="3"/>
        <v/>
      </c>
      <c r="U48" s="59">
        <f t="shared" si="4"/>
        <v>0</v>
      </c>
      <c r="V48" s="58">
        <f t="shared" si="5"/>
        <v>0</v>
      </c>
      <c r="W48" s="58">
        <f t="shared" si="6"/>
        <v>0</v>
      </c>
      <c r="X48" s="58">
        <f t="shared" si="7"/>
        <v>0</v>
      </c>
      <c r="Y48" s="58" t="str">
        <f t="shared" si="9"/>
        <v/>
      </c>
      <c r="AC48" s="58">
        <f t="shared" ref="AC48:AL48" si="16">MAX(AC44:AC47)-MIN(AC44:AC47)+1</f>
        <v>3</v>
      </c>
      <c r="AD48" s="58">
        <f t="shared" si="16"/>
        <v>1</v>
      </c>
      <c r="AE48" s="58">
        <f t="shared" si="16"/>
        <v>3</v>
      </c>
      <c r="AF48" s="58">
        <f t="shared" si="16"/>
        <v>8</v>
      </c>
      <c r="AG48" s="58">
        <f t="shared" si="16"/>
        <v>8</v>
      </c>
      <c r="AH48" s="58">
        <f>MAX(AH44:AH47)-AH49+1</f>
        <v>61408</v>
      </c>
      <c r="AI48" s="58">
        <f>MAX(AI44:AI47)-AI49+1</f>
        <v>15</v>
      </c>
      <c r="AK48" s="58">
        <f t="shared" si="16"/>
        <v>7</v>
      </c>
      <c r="AL48" s="58">
        <f t="shared" si="16"/>
        <v>1</v>
      </c>
      <c r="AP48" s="58">
        <f>MAX(AP44:AP47)-MIN(AP44:AP47)+1</f>
        <v>1</v>
      </c>
      <c r="AQ48" s="58">
        <f>MAX(AQ44:AQ47)-MIN(AQ44:AQ47)+1</f>
        <v>1</v>
      </c>
      <c r="AR48" s="58">
        <f>MAX(AR44:AR47)-MIN(AR44:AR47)+1</f>
        <v>1</v>
      </c>
      <c r="AS48" s="58">
        <f>MAX(AS44:AS47)-MIN(AS44:AS47)+1</f>
        <v>1</v>
      </c>
      <c r="AT48" s="58">
        <f>MAX(AT44:AT47)-MIN(AT44:AT47)+1</f>
        <v>1</v>
      </c>
      <c r="AY48" s="112"/>
      <c r="AZ48" s="113"/>
      <c r="BA48" s="113"/>
      <c r="BB48" s="114"/>
    </row>
    <row r="49" spans="1:54" ht="15" customHeight="1" x14ac:dyDescent="0.3">
      <c r="A49" s="18">
        <v>43</v>
      </c>
      <c r="B49" s="19" t="str">
        <f t="shared" si="0"/>
        <v>Wed</v>
      </c>
      <c r="C49" s="20" t="str">
        <f t="shared" si="1"/>
        <v>Jun 27, 2018</v>
      </c>
      <c r="D49" s="21">
        <f t="shared" si="8"/>
        <v>0.58333333333333337</v>
      </c>
      <c r="E49" s="22" t="str">
        <f>AB41</f>
        <v>Korea Republic</v>
      </c>
      <c r="F49" s="23"/>
      <c r="G49" s="24"/>
      <c r="H49" s="67" t="str">
        <f>AB38</f>
        <v>Germany</v>
      </c>
      <c r="R49" s="58">
        <f>DATE(2018,6,27)+TIME(3,0,0)+gmt_delta</f>
        <v>43278.583333333336</v>
      </c>
      <c r="S49" s="65" t="str">
        <f t="shared" si="2"/>
        <v/>
      </c>
      <c r="T49" s="65" t="str">
        <f t="shared" si="3"/>
        <v/>
      </c>
      <c r="U49" s="59">
        <f t="shared" si="4"/>
        <v>0</v>
      </c>
      <c r="V49" s="58">
        <f t="shared" si="5"/>
        <v>0</v>
      </c>
      <c r="W49" s="58">
        <f t="shared" si="6"/>
        <v>0</v>
      </c>
      <c r="X49" s="58">
        <f t="shared" si="7"/>
        <v>0</v>
      </c>
      <c r="Y49" s="58" t="str">
        <f t="shared" si="9"/>
        <v/>
      </c>
      <c r="AH49" s="58">
        <f>MIN(AH44:AH47)</f>
        <v>-799</v>
      </c>
      <c r="AI49" s="58">
        <f>MIN(AI44:AI47)</f>
        <v>-8</v>
      </c>
      <c r="AY49" s="112"/>
      <c r="AZ49" s="113"/>
      <c r="BA49" s="113"/>
      <c r="BB49" s="114"/>
    </row>
    <row r="50" spans="1:54" ht="15" customHeight="1" x14ac:dyDescent="0.3">
      <c r="A50" s="18">
        <v>44</v>
      </c>
      <c r="B50" s="19" t="str">
        <f t="shared" si="0"/>
        <v>Wed</v>
      </c>
      <c r="C50" s="20" t="str">
        <f t="shared" si="1"/>
        <v>Jun 27, 2018</v>
      </c>
      <c r="D50" s="21">
        <f t="shared" si="8"/>
        <v>0.58333333333333337</v>
      </c>
      <c r="E50" s="22" t="str">
        <f>AB39</f>
        <v>Mexico</v>
      </c>
      <c r="F50" s="23"/>
      <c r="G50" s="24"/>
      <c r="H50" s="67" t="str">
        <f>AB40</f>
        <v>Sweden</v>
      </c>
      <c r="J50" s="77" t="str">
        <f>INDEX(T,9,lang) &amp; " " &amp; "H"</f>
        <v>Group H</v>
      </c>
      <c r="K50" s="78" t="str">
        <f>INDEX(T,10,lang)</f>
        <v>PL</v>
      </c>
      <c r="L50" s="78" t="str">
        <f>INDEX(T,11,lang)</f>
        <v>W</v>
      </c>
      <c r="M50" s="78" t="str">
        <f>INDEX(T,12,lang)</f>
        <v>DRAW</v>
      </c>
      <c r="N50" s="78" t="str">
        <f>INDEX(T,13,lang)</f>
        <v>L</v>
      </c>
      <c r="O50" s="78" t="str">
        <f>INDEX(T,14,lang)</f>
        <v>GF - GA</v>
      </c>
      <c r="P50" s="79" t="str">
        <f>INDEX(T,15,lang)</f>
        <v>PNT</v>
      </c>
      <c r="R50" s="58">
        <f>DATE(2018,6,27)+TIME(3,0,0)+gmt_delta</f>
        <v>43278.583333333336</v>
      </c>
      <c r="S50" s="65" t="str">
        <f t="shared" si="2"/>
        <v/>
      </c>
      <c r="T50" s="65" t="str">
        <f t="shared" si="3"/>
        <v/>
      </c>
      <c r="U50" s="59">
        <f t="shared" si="4"/>
        <v>0</v>
      </c>
      <c r="V50" s="58">
        <f t="shared" si="5"/>
        <v>0</v>
      </c>
      <c r="W50" s="58">
        <f t="shared" si="6"/>
        <v>0</v>
      </c>
      <c r="X50" s="58">
        <f t="shared" si="7"/>
        <v>0</v>
      </c>
      <c r="Y50" s="58" t="str">
        <f t="shared" si="9"/>
        <v/>
      </c>
      <c r="AA50" s="58">
        <f>COUNTIF(AN50:AN53,CONCATENATE("&gt;=",AN50))</f>
        <v>3</v>
      </c>
      <c r="AB50" s="59" t="str">
        <f>VLOOKUP("Poland",T,lang,FALSE)</f>
        <v>Poland</v>
      </c>
      <c r="AC50" s="58">
        <f>COUNTIF($S$7:$T$54,"=" &amp; AB50 &amp; "_win")</f>
        <v>0</v>
      </c>
      <c r="AD50" s="58">
        <f>COUNTIF($S$7:$T$54,"=" &amp; AB50 &amp; "_draw")</f>
        <v>0</v>
      </c>
      <c r="AE50" s="58">
        <f>COUNTIF($S$7:$T$54,"=" &amp; AB50 &amp; "_lose")</f>
        <v>1</v>
      </c>
      <c r="AF50" s="58">
        <f>SUMIF($E$7:$E$54,$AB50,$F$7:$F$54) + SUMIF($H$7:$H$54,$AB50,$G$7:$G$54)</f>
        <v>1</v>
      </c>
      <c r="AG50" s="58">
        <f>SUMIF($E$7:$E$54,$AB50,$G$7:$G$54) + SUMIF($H$7:$H$54,$AB50,$F$7:$F$54)</f>
        <v>2</v>
      </c>
      <c r="AH50" s="58">
        <f>(AF50-AG50)*100+AK50*10000+AF50</f>
        <v>-99</v>
      </c>
      <c r="AI50" s="58">
        <f>AF50-AG50</f>
        <v>-1</v>
      </c>
      <c r="AJ50" s="58">
        <f>(AI50-AI55)/AI54</f>
        <v>0</v>
      </c>
      <c r="AK50" s="58">
        <f>AC50*3+AD50</f>
        <v>0</v>
      </c>
      <c r="AL50" s="58">
        <f>AP50/AP54*1000+AQ50/AQ54*100+AT50/AT54*10+AR50/AR54</f>
        <v>0</v>
      </c>
      <c r="AM50" s="58">
        <f>VLOOKUP(AB50,db_fifarank,2,FALSE)/2000000</f>
        <v>6.045E-4</v>
      </c>
      <c r="AN50" s="59">
        <f>1000*AK50/AK54+100*AJ50+10*AF50/AF54+1*AL50/AL54+AM50</f>
        <v>2.5006045000000001</v>
      </c>
      <c r="AO50" s="60" t="str">
        <f>IF(SUM(AC50:AE53)=12,J51,INDEX(T,84,lang))</f>
        <v>1H</v>
      </c>
      <c r="AP50" s="61">
        <f>SUMPRODUCT(($S$7:$S$54=AB50&amp;"_win")*($U$7:$U$54))+SUMPRODUCT(($T$7:$T$54=AB50&amp;"_win")*($U$7:$U$54))</f>
        <v>0</v>
      </c>
      <c r="AQ50" s="62">
        <f>SUMPRODUCT(($S$7:$S$54=AB50&amp;"_draw")*($U$7:$U$54))+SUMPRODUCT(($T$7:$T$54=AB50&amp;"_draw")*($U$7:$U$54))</f>
        <v>0</v>
      </c>
      <c r="AR50" s="62">
        <f>SUMPRODUCT(($E$7:$E$54=AB50)*($U$7:$U$54)*($F$7:$F$54))+SUMPRODUCT(($H$7:$H$54=AB50)*($U$7:$U$54)*($G$7:$G$54))</f>
        <v>0</v>
      </c>
      <c r="AS50" s="62">
        <f>SUMPRODUCT(($E$7:$E$54=AB50)*($U$7:$U$54)*($G$7:$G$54))+SUMPRODUCT(($H$7:$H$54=AB50)*($U$7:$U$54)*($F$7:$F$54))</f>
        <v>0</v>
      </c>
      <c r="AT50" s="62">
        <f>AR50-AS50</f>
        <v>0</v>
      </c>
      <c r="AY50" s="112"/>
      <c r="AZ50" s="113"/>
      <c r="BA50" s="113"/>
      <c r="BB50" s="114"/>
    </row>
    <row r="51" spans="1:54" ht="15" customHeight="1" x14ac:dyDescent="0.3">
      <c r="A51" s="18">
        <v>45</v>
      </c>
      <c r="B51" s="19" t="str">
        <f t="shared" si="0"/>
        <v>Thu</v>
      </c>
      <c r="C51" s="20" t="str">
        <f t="shared" si="1"/>
        <v>Jun 28, 2018</v>
      </c>
      <c r="D51" s="21">
        <f t="shared" si="8"/>
        <v>0.75</v>
      </c>
      <c r="E51" s="22" t="str">
        <f>AB47</f>
        <v>England</v>
      </c>
      <c r="F51" s="23"/>
      <c r="G51" s="24"/>
      <c r="H51" s="67" t="str">
        <f>AB44</f>
        <v>Belgium</v>
      </c>
      <c r="J51" s="69" t="str">
        <f>VLOOKUP(1,AA50:AK53,2,FALSE)</f>
        <v>Senegal</v>
      </c>
      <c r="K51" s="70">
        <f>L51+M51+N51</f>
        <v>2</v>
      </c>
      <c r="L51" s="70">
        <f>VLOOKUP(1,AA50:AK53,3,FALSE)</f>
        <v>1</v>
      </c>
      <c r="M51" s="70">
        <f>VLOOKUP(1,AA50:AK53,4,FALSE)</f>
        <v>1</v>
      </c>
      <c r="N51" s="70">
        <f>VLOOKUP(1,AA50:AK53,5,FALSE)</f>
        <v>0</v>
      </c>
      <c r="O51" s="70" t="str">
        <f>VLOOKUP(1,AA50:AK53,6,FALSE) &amp; " - " &amp; VLOOKUP(1,AA50:AK53,7,FALSE)</f>
        <v>4 - 3</v>
      </c>
      <c r="P51" s="71">
        <f>L51*3+M51</f>
        <v>4</v>
      </c>
      <c r="R51" s="58">
        <f>DATE(2018,6,28)+TIME(7,0,0)+gmt_delta</f>
        <v>43279.75</v>
      </c>
      <c r="S51" s="65" t="str">
        <f t="shared" si="2"/>
        <v/>
      </c>
      <c r="T51" s="65" t="str">
        <f t="shared" si="3"/>
        <v/>
      </c>
      <c r="U51" s="59">
        <f t="shared" si="4"/>
        <v>0</v>
      </c>
      <c r="V51" s="58">
        <f t="shared" si="5"/>
        <v>0</v>
      </c>
      <c r="W51" s="58">
        <f t="shared" si="6"/>
        <v>0</v>
      </c>
      <c r="X51" s="58">
        <f t="shared" si="7"/>
        <v>0</v>
      </c>
      <c r="Y51" s="58" t="str">
        <f t="shared" si="9"/>
        <v/>
      </c>
      <c r="AA51" s="58">
        <f>COUNTIF(AN50:AN53,CONCATENATE("&gt;=",AN51))</f>
        <v>1</v>
      </c>
      <c r="AB51" s="59" t="str">
        <f>VLOOKUP("Senegal",T,lang,FALSE)</f>
        <v>Senegal</v>
      </c>
      <c r="AC51" s="58">
        <f>COUNTIF($S$7:$T$54,"=" &amp; AB51 &amp; "_win")</f>
        <v>1</v>
      </c>
      <c r="AD51" s="58">
        <f>COUNTIF($S$7:$T$54,"=" &amp; AB51 &amp; "_draw")</f>
        <v>1</v>
      </c>
      <c r="AE51" s="58">
        <f>COUNTIF($S$7:$T$54,"=" &amp; AB51 &amp; "_lose")</f>
        <v>0</v>
      </c>
      <c r="AF51" s="58">
        <f>SUMIF($E$7:$E$54,$AB51,$F$7:$F$54) + SUMIF($H$7:$H$54,$AB51,$G$7:$G$54)</f>
        <v>4</v>
      </c>
      <c r="AG51" s="58">
        <f>SUMIF($E$7:$E$54,$AB51,$G$7:$G$54) + SUMIF($H$7:$H$54,$AB51,$F$7:$F$54)</f>
        <v>3</v>
      </c>
      <c r="AH51" s="58">
        <f>(AF51-AG51)*100+AK51*10000+AF51</f>
        <v>40104</v>
      </c>
      <c r="AI51" s="58">
        <f>AF51-AG51</f>
        <v>1</v>
      </c>
      <c r="AJ51" s="58">
        <f>(AI51-AI55)/AI54</f>
        <v>0.66666666666666663</v>
      </c>
      <c r="AK51" s="58">
        <f>AC51*3+AD51</f>
        <v>4</v>
      </c>
      <c r="AL51" s="58">
        <f>AP51/AP54*1000+AQ51/AQ54*100+AT51/AT54*10+AR51/AR54</f>
        <v>50.666666666666664</v>
      </c>
      <c r="AM51" s="58">
        <f>VLOOKUP(AB51,db_fifarank,2,FALSE)/2000000</f>
        <v>4.4200000000000001E-4</v>
      </c>
      <c r="AN51" s="59">
        <f>1000*AK51/AK54+100*AJ51+10*AF51/AF54+1*AL51/AL54+AM51</f>
        <v>877.64775382795699</v>
      </c>
      <c r="AO51" s="60" t="str">
        <f>IF(SUM(AC50:AE53)=12,J52,INDEX(T,85,lang))</f>
        <v>2H</v>
      </c>
      <c r="AP51" s="61">
        <f>SUMPRODUCT(($S$7:$S$54=AB51&amp;"_win")*($U$7:$U$54))+SUMPRODUCT(($T$7:$T$54=AB51&amp;"_win")*($U$7:$U$54))</f>
        <v>0</v>
      </c>
      <c r="AQ51" s="62">
        <f>SUMPRODUCT(($S$7:$S$54=AB51&amp;"_draw")*($U$7:$U$54))+SUMPRODUCT(($T$7:$T$54=AB51&amp;"_draw")*($U$7:$U$54))</f>
        <v>1</v>
      </c>
      <c r="AR51" s="62">
        <f>SUMPRODUCT(($E$7:$E$54=AB51)*($U$7:$U$54)*($F$7:$F$54))+SUMPRODUCT(($H$7:$H$54=AB51)*($U$7:$U$54)*($G$7:$G$54))</f>
        <v>2</v>
      </c>
      <c r="AS51" s="62">
        <f>SUMPRODUCT(($E$7:$E$54=AB51)*($U$7:$U$54)*($G$7:$G$54))+SUMPRODUCT(($H$7:$H$54=AB51)*($U$7:$U$54)*($F$7:$F$54))</f>
        <v>2</v>
      </c>
      <c r="AT51" s="62">
        <f>AR51-AS51</f>
        <v>0</v>
      </c>
      <c r="AY51" s="112"/>
      <c r="AZ51" s="113"/>
      <c r="BA51" s="113"/>
      <c r="BB51" s="114"/>
    </row>
    <row r="52" spans="1:54" ht="15" customHeight="1" x14ac:dyDescent="0.3">
      <c r="A52" s="18">
        <v>46</v>
      </c>
      <c r="B52" s="19" t="str">
        <f t="shared" si="0"/>
        <v>Thu</v>
      </c>
      <c r="C52" s="20" t="str">
        <f t="shared" si="1"/>
        <v>Jun 28, 2018</v>
      </c>
      <c r="D52" s="21">
        <f t="shared" si="8"/>
        <v>0.75</v>
      </c>
      <c r="E52" s="22" t="str">
        <f>AB45</f>
        <v>Panama</v>
      </c>
      <c r="F52" s="23"/>
      <c r="G52" s="24"/>
      <c r="H52" s="67" t="str">
        <f>AB46</f>
        <v>Tunisia</v>
      </c>
      <c r="J52" s="72" t="str">
        <f>VLOOKUP(2,AA50:AK53,2,FALSE)</f>
        <v>Japan</v>
      </c>
      <c r="K52" s="27">
        <f>L52+M52+N52</f>
        <v>2</v>
      </c>
      <c r="L52" s="27">
        <f>VLOOKUP(2,AA50:AK53,3,FALSE)</f>
        <v>1</v>
      </c>
      <c r="M52" s="27">
        <f>VLOOKUP(2,AA50:AK53,4,FALSE)</f>
        <v>1</v>
      </c>
      <c r="N52" s="27">
        <f>VLOOKUP(2,AA50:AK53,5,FALSE)</f>
        <v>0</v>
      </c>
      <c r="O52" s="27" t="str">
        <f>VLOOKUP(2,AA50:AK53,6,FALSE) &amp; " - " &amp; VLOOKUP(2,AA50:AK53,7,FALSE)</f>
        <v>4 - 3</v>
      </c>
      <c r="P52" s="73">
        <f>L52*3+M52</f>
        <v>4</v>
      </c>
      <c r="R52" s="58">
        <f>DATE(2018,6,28)+TIME(7,0,0)+gmt_delta</f>
        <v>43279.75</v>
      </c>
      <c r="S52" s="65" t="str">
        <f t="shared" si="2"/>
        <v/>
      </c>
      <c r="T52" s="65" t="str">
        <f t="shared" si="3"/>
        <v/>
      </c>
      <c r="U52" s="59">
        <f t="shared" si="4"/>
        <v>0</v>
      </c>
      <c r="V52" s="58">
        <f t="shared" si="5"/>
        <v>0</v>
      </c>
      <c r="W52" s="58">
        <f t="shared" si="6"/>
        <v>0</v>
      </c>
      <c r="X52" s="58">
        <f t="shared" si="7"/>
        <v>0</v>
      </c>
      <c r="Y52" s="58" t="str">
        <f t="shared" si="9"/>
        <v/>
      </c>
      <c r="AA52" s="58">
        <f>COUNTIF(AN50:AN53,CONCATENATE("&gt;=",AN52))</f>
        <v>4</v>
      </c>
      <c r="AB52" s="59" t="str">
        <f>VLOOKUP("Colombia",T,lang,FALSE)</f>
        <v>Colombia</v>
      </c>
      <c r="AC52" s="58">
        <f>COUNTIF($S$7:$T$54,"=" &amp; AB52 &amp; "_win")</f>
        <v>0</v>
      </c>
      <c r="AD52" s="58">
        <f>COUNTIF($S$7:$T$54,"=" &amp; AB52 &amp; "_draw")</f>
        <v>0</v>
      </c>
      <c r="AE52" s="58">
        <f>COUNTIF($S$7:$T$54,"=" &amp; AB52 &amp; "_lose")</f>
        <v>1</v>
      </c>
      <c r="AF52" s="58">
        <f>SUMIF($E$7:$E$54,$AB52,$F$7:$F$54) + SUMIF($H$7:$H$54,$AB52,$G$7:$G$54)</f>
        <v>1</v>
      </c>
      <c r="AG52" s="58">
        <f>SUMIF($E$7:$E$54,$AB52,$G$7:$G$54) + SUMIF($H$7:$H$54,$AB52,$F$7:$F$54)</f>
        <v>2</v>
      </c>
      <c r="AH52" s="58">
        <f>(AF52-AG52)*100+AK52*10000+AF52</f>
        <v>-99</v>
      </c>
      <c r="AI52" s="58">
        <f>AF52-AG52</f>
        <v>-1</v>
      </c>
      <c r="AJ52" s="58">
        <f>(AI52-AI55)/AI54</f>
        <v>0</v>
      </c>
      <c r="AK52" s="58">
        <f>AC52*3+AD52</f>
        <v>0</v>
      </c>
      <c r="AL52" s="58">
        <f>AP52/AP54*1000+AQ52/AQ54*100+AT52/AT54*10+AR52/AR54</f>
        <v>0</v>
      </c>
      <c r="AM52" s="58">
        <f>VLOOKUP(AB52,db_fifarank,2,FALSE)/2000000</f>
        <v>5.3899999999999998E-4</v>
      </c>
      <c r="AN52" s="59">
        <f>1000*AK52/AK54+100*AJ52+10*AF52/AF54+1*AL52/AL54+AM52</f>
        <v>2.5005389999999998</v>
      </c>
      <c r="AP52" s="61">
        <f>SUMPRODUCT(($S$7:$S$54=AB52&amp;"_win")*($U$7:$U$54))+SUMPRODUCT(($T$7:$T$54=AB52&amp;"_win")*($U$7:$U$54))</f>
        <v>0</v>
      </c>
      <c r="AQ52" s="62">
        <f>SUMPRODUCT(($S$7:$S$54=AB52&amp;"_draw")*($U$7:$U$54))+SUMPRODUCT(($T$7:$T$54=AB52&amp;"_draw")*($U$7:$U$54))</f>
        <v>0</v>
      </c>
      <c r="AR52" s="62">
        <f>SUMPRODUCT(($E$7:$E$54=AB52)*($U$7:$U$54)*($F$7:$F$54))+SUMPRODUCT(($H$7:$H$54=AB52)*($U$7:$U$54)*($G$7:$G$54))</f>
        <v>0</v>
      </c>
      <c r="AS52" s="62">
        <f>SUMPRODUCT(($E$7:$E$54=AB52)*($U$7:$U$54)*($G$7:$G$54))+SUMPRODUCT(($H$7:$H$54=AB52)*($U$7:$U$54)*($F$7:$F$54))</f>
        <v>0</v>
      </c>
      <c r="AT52" s="62">
        <f>AR52-AS52</f>
        <v>0</v>
      </c>
      <c r="AY52" s="115"/>
      <c r="AZ52" s="116"/>
      <c r="BA52" s="116"/>
      <c r="BB52" s="117"/>
    </row>
    <row r="53" spans="1:54" ht="15" customHeight="1" x14ac:dyDescent="0.3">
      <c r="A53" s="18">
        <v>47</v>
      </c>
      <c r="B53" s="19" t="str">
        <f t="shared" si="0"/>
        <v>Thu</v>
      </c>
      <c r="C53" s="20" t="str">
        <f t="shared" si="1"/>
        <v>Jun 28, 2018</v>
      </c>
      <c r="D53" s="21">
        <f t="shared" si="8"/>
        <v>0.58333333333333337</v>
      </c>
      <c r="E53" s="22" t="str">
        <f>AB53</f>
        <v>Japan</v>
      </c>
      <c r="F53" s="23"/>
      <c r="G53" s="24"/>
      <c r="H53" s="67" t="str">
        <f>AB50</f>
        <v>Poland</v>
      </c>
      <c r="J53" s="72" t="str">
        <f>VLOOKUP(3,AA50:AK53,2,FALSE)</f>
        <v>Poland</v>
      </c>
      <c r="K53" s="27">
        <f>L53+M53+N53</f>
        <v>1</v>
      </c>
      <c r="L53" s="27">
        <f>VLOOKUP(3,AA50:AK53,3,FALSE)</f>
        <v>0</v>
      </c>
      <c r="M53" s="27">
        <f>VLOOKUP(3,AA50:AK53,4,FALSE)</f>
        <v>0</v>
      </c>
      <c r="N53" s="27">
        <f>VLOOKUP(3,AA50:AK53,5,FALSE)</f>
        <v>1</v>
      </c>
      <c r="O53" s="27" t="str">
        <f>VLOOKUP(3,AA50:AK53,6,FALSE) &amp; " - " &amp; VLOOKUP(3,AA50:AK53,7,FALSE)</f>
        <v>1 - 2</v>
      </c>
      <c r="P53" s="73">
        <f>L53*3+M53</f>
        <v>0</v>
      </c>
      <c r="R53" s="58">
        <f>DATE(2018,6,28)+TIME(3,0,0)+gmt_delta</f>
        <v>43279.583333333336</v>
      </c>
      <c r="S53" s="65" t="str">
        <f t="shared" si="2"/>
        <v/>
      </c>
      <c r="T53" s="65" t="str">
        <f t="shared" si="3"/>
        <v/>
      </c>
      <c r="U53" s="59">
        <f t="shared" si="4"/>
        <v>0</v>
      </c>
      <c r="V53" s="58">
        <f t="shared" si="5"/>
        <v>0</v>
      </c>
      <c r="W53" s="58">
        <f t="shared" si="6"/>
        <v>0</v>
      </c>
      <c r="X53" s="58">
        <f t="shared" si="7"/>
        <v>0</v>
      </c>
      <c r="Y53" s="58" t="str">
        <f t="shared" si="9"/>
        <v/>
      </c>
      <c r="AA53" s="58">
        <f>COUNTIF(AN50:AN53,CONCATENATE("&gt;=",AN53))</f>
        <v>2</v>
      </c>
      <c r="AB53" s="59" t="str">
        <f>VLOOKUP("Japan",T,lang,FALSE)</f>
        <v>Japan</v>
      </c>
      <c r="AC53" s="58">
        <f>COUNTIF($S$7:$T$54,"=" &amp; AB53 &amp; "_win")</f>
        <v>1</v>
      </c>
      <c r="AD53" s="58">
        <f>COUNTIF($S$7:$T$54,"=" &amp; AB53 &amp; "_draw")</f>
        <v>1</v>
      </c>
      <c r="AE53" s="58">
        <f>COUNTIF($S$7:$T$54,"=" &amp; AB53 &amp; "_lose")</f>
        <v>0</v>
      </c>
      <c r="AF53" s="58">
        <f>SUMIF($E$7:$E$54,$AB53,$F$7:$F$54) + SUMIF($H$7:$H$54,$AB53,$G$7:$G$54)</f>
        <v>4</v>
      </c>
      <c r="AG53" s="58">
        <f>SUMIF($E$7:$E$54,$AB53,$G$7:$G$54) + SUMIF($H$7:$H$54,$AB53,$F$7:$F$54)</f>
        <v>3</v>
      </c>
      <c r="AH53" s="58">
        <f>(AF53-AG53)*100+AK53*10000+AF53</f>
        <v>40104</v>
      </c>
      <c r="AI53" s="58">
        <f>AF53-AG53</f>
        <v>1</v>
      </c>
      <c r="AJ53" s="58">
        <f>(AI53-AI55)/AI54</f>
        <v>0.66666666666666663</v>
      </c>
      <c r="AK53" s="58">
        <f>AC53*3+AD53</f>
        <v>4</v>
      </c>
      <c r="AL53" s="58">
        <f>AP53/AP54*1000+AQ53/AQ54*100+AT53/AT54*10+AR53/AR54</f>
        <v>50.666666666666664</v>
      </c>
      <c r="AM53" s="58">
        <f>VLOOKUP(AB53,db_fifarank,2,FALSE)/2000000</f>
        <v>2.9999999999999997E-4</v>
      </c>
      <c r="AN53" s="59">
        <f>1000*AK53/AK54+100*AJ53+10*AF53/AF54+1*AL53/AL54+AM53</f>
        <v>877.64761182795701</v>
      </c>
      <c r="AP53" s="61">
        <f>SUMPRODUCT(($S$7:$S$54=AB53&amp;"_win")*($U$7:$U$54))+SUMPRODUCT(($T$7:$T$54=AB53&amp;"_win")*($U$7:$U$54))</f>
        <v>0</v>
      </c>
      <c r="AQ53" s="62">
        <f>SUMPRODUCT(($S$7:$S$54=AB53&amp;"_draw")*($U$7:$U$54))+SUMPRODUCT(($T$7:$T$54=AB53&amp;"_draw")*($U$7:$U$54))</f>
        <v>1</v>
      </c>
      <c r="AR53" s="62">
        <f>SUMPRODUCT(($E$7:$E$54=AB53)*($U$7:$U$54)*($F$7:$F$54))+SUMPRODUCT(($H$7:$H$54=AB53)*($U$7:$U$54)*($G$7:$G$54))</f>
        <v>2</v>
      </c>
      <c r="AS53" s="62">
        <f>SUMPRODUCT(($E$7:$E$54=AB53)*($U$7:$U$54)*($G$7:$G$54))+SUMPRODUCT(($H$7:$H$54=AB53)*($U$7:$U$54)*($F$7:$F$54))</f>
        <v>2</v>
      </c>
      <c r="AT53" s="62">
        <f>AR53-AS53</f>
        <v>0</v>
      </c>
    </row>
    <row r="54" spans="1:54" ht="15" customHeight="1" x14ac:dyDescent="0.3">
      <c r="A54" s="44">
        <v>48</v>
      </c>
      <c r="B54" s="45" t="str">
        <f t="shared" si="0"/>
        <v>Thu</v>
      </c>
      <c r="C54" s="46" t="str">
        <f t="shared" si="1"/>
        <v>Jun 28, 2018</v>
      </c>
      <c r="D54" s="47">
        <f t="shared" si="8"/>
        <v>0.58333333333333337</v>
      </c>
      <c r="E54" s="48" t="str">
        <f>AB51</f>
        <v>Senegal</v>
      </c>
      <c r="F54" s="32"/>
      <c r="G54" s="33"/>
      <c r="H54" s="68" t="str">
        <f>AB52</f>
        <v>Colombia</v>
      </c>
      <c r="J54" s="74" t="str">
        <f>VLOOKUP(4,AA50:AK53,2,FALSE)</f>
        <v>Colombia</v>
      </c>
      <c r="K54" s="75">
        <f>L54+M54+N54</f>
        <v>1</v>
      </c>
      <c r="L54" s="75">
        <f>VLOOKUP(4,AA50:AK53,3,FALSE)</f>
        <v>0</v>
      </c>
      <c r="M54" s="75">
        <f>VLOOKUP(4,AA50:AK53,4,FALSE)</f>
        <v>0</v>
      </c>
      <c r="N54" s="75">
        <f>VLOOKUP(4,AA50:AK53,5,FALSE)</f>
        <v>1</v>
      </c>
      <c r="O54" s="75" t="str">
        <f>VLOOKUP(4,AA50:AK53,6,FALSE) &amp; " - " &amp; VLOOKUP(4,AA50:AK53,7,FALSE)</f>
        <v>1 - 2</v>
      </c>
      <c r="P54" s="76">
        <f>L54*3+M54</f>
        <v>0</v>
      </c>
      <c r="R54" s="58">
        <f>DATE(2018,6,28)+TIME(3,0,0)+gmt_delta</f>
        <v>43279.583333333336</v>
      </c>
      <c r="S54" s="65" t="str">
        <f t="shared" si="2"/>
        <v/>
      </c>
      <c r="T54" s="65" t="str">
        <f t="shared" si="3"/>
        <v/>
      </c>
      <c r="U54" s="59">
        <f t="shared" si="4"/>
        <v>0</v>
      </c>
      <c r="V54" s="58">
        <f t="shared" si="5"/>
        <v>0</v>
      </c>
      <c r="W54" s="58">
        <f t="shared" si="6"/>
        <v>0</v>
      </c>
      <c r="X54" s="58">
        <f t="shared" si="7"/>
        <v>0</v>
      </c>
      <c r="Y54" s="58" t="str">
        <f t="shared" si="9"/>
        <v/>
      </c>
      <c r="AC54" s="58">
        <f t="shared" ref="AC54:AL54" si="17">MAX(AC50:AC53)-MIN(AC50:AC53)+1</f>
        <v>2</v>
      </c>
      <c r="AD54" s="58">
        <f t="shared" si="17"/>
        <v>2</v>
      </c>
      <c r="AE54" s="58">
        <f t="shared" si="17"/>
        <v>2</v>
      </c>
      <c r="AF54" s="58">
        <f t="shared" si="17"/>
        <v>4</v>
      </c>
      <c r="AG54" s="58">
        <f t="shared" si="17"/>
        <v>2</v>
      </c>
      <c r="AH54" s="58">
        <f>MAX(AH50:AH53)-AH55+1</f>
        <v>40204</v>
      </c>
      <c r="AI54" s="58">
        <f>MAX(AI50:AI53)-AI55+1</f>
        <v>3</v>
      </c>
      <c r="AK54" s="58">
        <f t="shared" si="17"/>
        <v>5</v>
      </c>
      <c r="AL54" s="58">
        <f t="shared" si="17"/>
        <v>51.666666666666664</v>
      </c>
      <c r="AP54" s="58">
        <f>MAX(AP50:AP53)-MIN(AP50:AP53)+1</f>
        <v>1</v>
      </c>
      <c r="AQ54" s="58">
        <f>MAX(AQ50:AQ53)-MIN(AQ50:AQ53)+1</f>
        <v>2</v>
      </c>
      <c r="AR54" s="58">
        <f>MAX(AR50:AR53)-MIN(AR50:AR53)+1</f>
        <v>3</v>
      </c>
      <c r="AS54" s="58">
        <f>MAX(AS50:AS53)-MIN(AS50:AS53)+1</f>
        <v>3</v>
      </c>
      <c r="AT54" s="58">
        <f>MAX(AT50:AT53)-MIN(AT50:AT53)+1</f>
        <v>1</v>
      </c>
    </row>
    <row r="55" spans="1:54" x14ac:dyDescent="0.3">
      <c r="A55" s="49"/>
      <c r="B55" s="50"/>
      <c r="C55" s="49"/>
      <c r="D55" s="51"/>
      <c r="E55" s="52"/>
      <c r="F55" s="53"/>
      <c r="G55" s="53"/>
      <c r="H55" s="54"/>
      <c r="I55" s="55"/>
      <c r="J55" s="56"/>
      <c r="K55" s="49"/>
      <c r="L55" s="49"/>
      <c r="M55" s="49"/>
      <c r="N55" s="49"/>
      <c r="O55" s="49"/>
      <c r="P55" s="49"/>
      <c r="AH55" s="58">
        <f>MIN(AH50:AH53)</f>
        <v>-99</v>
      </c>
      <c r="AI55" s="58">
        <f>MIN(AI50:AI53)</f>
        <v>-1</v>
      </c>
    </row>
    <row r="56" spans="1:54" ht="12.75" customHeight="1" x14ac:dyDescent="0.3"/>
    <row r="57" spans="1:54" ht="12.75" customHeight="1" x14ac:dyDescent="0.3"/>
    <row r="58" spans="1:54" x14ac:dyDescent="0.3">
      <c r="R58" s="58">
        <f>DATE(2018,6,30)+TIME(7,0,0)+gmt_delta</f>
        <v>43281.75</v>
      </c>
      <c r="S58" s="65" t="str">
        <f>IF(OR(BA10="",BA11=""),"",IF(BA10&gt;BA11,AZ10,IF(BA10&lt;BA11,AZ11,IF(OR(BB10="",BB11=""),"draw",IF(BB10&gt;BB11,AZ10,IF(BB10&lt;BB11,AZ11,"draw"))))))</f>
        <v/>
      </c>
      <c r="T58" s="65" t="str">
        <f>IF(OR(S58="",S58="draw"),INDEX(T,86,lang),S58)</f>
        <v>W49</v>
      </c>
    </row>
    <row r="59" spans="1:54" ht="12.75" customHeight="1" x14ac:dyDescent="0.3">
      <c r="R59" s="58">
        <f>DATE(2018,6,30)+TIME(3,0,0)+gmt_delta</f>
        <v>43281.583333333336</v>
      </c>
      <c r="S59" s="65" t="str">
        <f>IF(OR(BA14="",BA15=""),"",IF(BA14&gt;BA15,AZ14,IF(BA14&lt;BA15,AZ15,IF(OR(BB14="",BB15=""),"draw",IF(BB14&gt;BB15,AZ14,IF(BB14&lt;BB15,AZ15,"draw"))))))</f>
        <v/>
      </c>
      <c r="T59" s="65" t="str">
        <f>IF(OR(S59="",S59="draw"),INDEX(T,87,lang),S59)</f>
        <v>W50</v>
      </c>
    </row>
    <row r="60" spans="1:54" ht="12.75" customHeight="1" x14ac:dyDescent="0.3">
      <c r="R60" s="58">
        <f>DATE(2018,7,1)+TIME(3,0,0)+gmt_delta</f>
        <v>43282.583333333336</v>
      </c>
      <c r="S60" s="65" t="str">
        <f>IF(OR(BA26="",BA27=""),"",IF(BA26&gt;BA27,AZ26,IF(BA26&lt;BA27,AZ27,IF(OR(BB26="",BB27=""),"draw",IF(BB26&gt;BB27,AZ26,IF(BB26&lt;BB27,AZ27,"draw"))))))</f>
        <v/>
      </c>
      <c r="T60" s="65" t="str">
        <f>IF(OR(S60="",S60="draw"),INDEX(T,88,lang),S60)</f>
        <v>W51</v>
      </c>
    </row>
    <row r="61" spans="1:54" ht="12.75" customHeight="1" x14ac:dyDescent="0.3">
      <c r="R61" s="58">
        <f>DATE(2018,7,1)+TIME(7,0,0)+gmt_delta</f>
        <v>43282.75</v>
      </c>
      <c r="S61" s="65" t="str">
        <f>IF(OR(BA30="",BA31=""),"",IF(BA30&gt;BA31,AZ30,IF(BA30&lt;BA31,AZ31,IF(OR(BB30="",BB31=""),"draw",IF(BB30&gt;BB31,AZ30,IF(BB30&lt;BB31,AZ31,"draw"))))))</f>
        <v/>
      </c>
      <c r="T61" s="65" t="str">
        <f>IF(OR(S61="",S61="draw"),INDEX(T,89,lang),S61)</f>
        <v>W52</v>
      </c>
    </row>
    <row r="62" spans="1:54" ht="12.75" customHeight="1" x14ac:dyDescent="0.3">
      <c r="R62" s="58">
        <f>DATE(2018,7,2)+TIME(3,0,0)+gmt_delta</f>
        <v>43283.583333333336</v>
      </c>
      <c r="S62" s="65" t="str">
        <f>IF(OR(BA18="",BA19=""),"",IF(BA18&gt;BA19,AZ18,IF(BA18&lt;BA19,AZ19,IF(OR(BB18="",BB19=""),"draw",IF(BB18&gt;BB19,AZ18,IF(BB18&lt;BB19,AZ19,"draw"))))))</f>
        <v/>
      </c>
      <c r="T62" s="65" t="str">
        <f>IF(OR(S62="",S62="draw"),INDEX(T,90,lang),S62)</f>
        <v>W53</v>
      </c>
    </row>
    <row r="63" spans="1:54" ht="12.75" customHeight="1" x14ac:dyDescent="0.3">
      <c r="R63" s="58">
        <f>DATE(2018,7,2)+TIME(7,0,0)+gmt_delta</f>
        <v>43283.75</v>
      </c>
      <c r="S63" s="65" t="str">
        <f>IF(OR(BA22="",BA23=""),"",IF(BA22&gt;BA23,AZ22,IF(BA22&lt;BA23,AZ23,IF(OR(BB22="",BB23=""),"draw",IF(BB22&gt;BB23,AZ22,IF(BB22&lt;BB23,AZ23,"draw"))))))</f>
        <v/>
      </c>
      <c r="T63" s="65" t="str">
        <f>IF(OR(S63="",S63="draw"),INDEX(T,91,lang),S63)</f>
        <v>W54</v>
      </c>
    </row>
    <row r="64" spans="1:54" ht="12.75" customHeight="1" x14ac:dyDescent="0.3">
      <c r="R64" s="58">
        <f>DATE(2018,7,3)+TIME(3,0,0)+gmt_delta</f>
        <v>43284.583333333336</v>
      </c>
      <c r="S64" s="65" t="str">
        <f>IF(OR(BA34="",BA35=""),"",IF(BA34&gt;BA35,AZ34,IF(BA34&lt;BA35,AZ35,IF(OR(BB34="",BB35=""),"draw",IF(BB34&gt;BB35,AZ34,IF(BB34&lt;BB35,AZ35,"draw"))))))</f>
        <v/>
      </c>
      <c r="T64" s="65" t="str">
        <f>IF(OR(S64="",S64="draw"),INDEX(T,92,lang),S64)</f>
        <v>W55</v>
      </c>
    </row>
    <row r="65" spans="18:26" ht="12.75" customHeight="1" x14ac:dyDescent="0.3">
      <c r="R65" s="58">
        <f>DATE(2018,7,3)+TIME(7,0,0)+gmt_delta</f>
        <v>43284.75</v>
      </c>
      <c r="S65" s="65" t="str">
        <f>IF(OR(BA38="",BA39=""),"",IF(BA38&gt;BA39,AZ38,IF(BA38&lt;BA39,AZ39,IF(OR(BB38="",BB39=""),"draw",IF(BB38&gt;BB39,AZ38,IF(BB38&lt;BB39,AZ39,"draw"))))))</f>
        <v/>
      </c>
      <c r="T65" s="65" t="str">
        <f>IF(OR(S65="",S65="draw"),INDEX(T,93,lang),S65)</f>
        <v>W56</v>
      </c>
    </row>
    <row r="66" spans="18:26" ht="12.75" customHeight="1" x14ac:dyDescent="0.3"/>
    <row r="67" spans="18:26" ht="12.75" customHeight="1" x14ac:dyDescent="0.3"/>
    <row r="68" spans="18:26" ht="12.75" customHeight="1" x14ac:dyDescent="0.3"/>
    <row r="69" spans="18:26" ht="12.75" customHeight="1" x14ac:dyDescent="0.3">
      <c r="R69" s="58">
        <f>DATE(2018,7,6)+TIME(3,0,0)+gmt_delta</f>
        <v>43287.583333333336</v>
      </c>
      <c r="S69" s="65" t="str">
        <f>IF(OR(BG12="",BG13=""),"",IF(BG12&gt;BG13,BF12,IF(BG12&lt;BG13,BF13,IF(OR(BH12="",BH13=""),"draw",IF(BH12&gt;BH13,BF12,IF(BH12&lt;BH13,BF13,"draw"))))))</f>
        <v/>
      </c>
      <c r="T69" s="65" t="str">
        <f>IF(OR(S69="",S69="draw"),INDEX(T,94,lang),S69)</f>
        <v>W57</v>
      </c>
    </row>
    <row r="70" spans="18:26" ht="12.75" customHeight="1" x14ac:dyDescent="0.3">
      <c r="R70" s="58">
        <f>DATE(2018,7,6)+TIME(7,0,0)+gmt_delta</f>
        <v>43287.75</v>
      </c>
      <c r="S70" s="65" t="str">
        <f>IF(OR(BG20="",BG21=""),"",IF(BG20&gt;BG21,BF20,IF(BG20&lt;BG21,BF21,IF(OR(BH20="",BH21=""),"draw",IF(BH20&gt;BH21,BF20,IF(BH20&lt;BH21,BF21,"draw"))))))</f>
        <v/>
      </c>
      <c r="T70" s="65" t="str">
        <f>IF(OR(S70="",S70="draw"),INDEX(T,95,lang),S70)</f>
        <v>W58</v>
      </c>
    </row>
    <row r="71" spans="18:26" ht="12.75" customHeight="1" x14ac:dyDescent="0.3">
      <c r="R71" s="58">
        <f>DATE(2018,7,7)+TIME(7,0,0)+gmt_delta</f>
        <v>43288.75</v>
      </c>
      <c r="S71" s="65" t="str">
        <f>IF(OR(BG28="",BG29=""),"",IF(BG28&gt;BG29,BF28,IF(BG28&lt;BG29,BF29,IF(OR(BH28="",BH29=""),"draw",IF(BH28&gt;BH29,BF28,IF(BH28&lt;BH29,BF29,"draw"))))))</f>
        <v/>
      </c>
      <c r="T71" s="65" t="str">
        <f>IF(OR(S71="",S71="draw"),INDEX(T,96,lang),S71)</f>
        <v>W59</v>
      </c>
    </row>
    <row r="72" spans="18:26" ht="12.75" customHeight="1" x14ac:dyDescent="0.3">
      <c r="R72" s="58">
        <f>DATE(2018,7,7)+TIME(3,0,0)+gmt_delta</f>
        <v>43288.583333333336</v>
      </c>
      <c r="S72" s="65" t="str">
        <f>IF(OR(BG36="",BG37=""),"",IF(BG36&gt;BG37,BF36,IF(BG36&lt;BG37,BF37,IF(OR(BH36="",BH37=""),"draw",IF(BH36&gt;BH37,BF36,IF(BH36&lt;BH37,BF37,"draw"))))))</f>
        <v/>
      </c>
      <c r="T72" s="65" t="str">
        <f>IF(OR(S72="",S72="draw"),INDEX(T,97,lang),S72)</f>
        <v>W60</v>
      </c>
    </row>
    <row r="73" spans="18:26" ht="12.75" customHeight="1" x14ac:dyDescent="0.3"/>
    <row r="74" spans="18:26" ht="12.75" customHeight="1" x14ac:dyDescent="0.3"/>
    <row r="75" spans="18:26" ht="12.75" customHeight="1" x14ac:dyDescent="0.3"/>
    <row r="76" spans="18:26" ht="12.75" customHeight="1" x14ac:dyDescent="0.3">
      <c r="R76" s="58">
        <f>DATE(2018,7,10)+TIME(7,0,0)+gmt_delta</f>
        <v>43291.75</v>
      </c>
      <c r="S76" s="65" t="str">
        <f>IF(OR(BM16="",BM17=""),"",IF(BM16&gt;BM17,BL16,IF(BM16&lt;BM17,BL17,IF(OR(BN16="",BN17=""),"draw",IF(BN16&gt;BN17,BL16,IF(BN16&lt;BN17,BL17,"draw"))))))</f>
        <v/>
      </c>
      <c r="T76" s="65" t="str">
        <f>IF(OR(S76="",S76="draw"),INDEX(T,98,lang),S76)</f>
        <v>W61</v>
      </c>
      <c r="U76" s="65" t="str">
        <f>IF(OR(BM16="",BM17=""),"",IF(BM16&lt;BM17,BL16,IF(BM16&gt;BM17,BL17,IF(OR(BN16="",BN17=""),"draw",IF(BN16&lt;BN17,BL16,IF(BN16&gt;BN17,BL17,"draw"))))))</f>
        <v/>
      </c>
      <c r="Z76" s="65" t="str">
        <f>IF(OR(U76="",U76="draw"),INDEX(T,100,lang),U76)</f>
        <v>L61</v>
      </c>
    </row>
    <row r="77" spans="18:26" ht="12.75" customHeight="1" x14ac:dyDescent="0.3">
      <c r="R77" s="58">
        <f>DATE(2018,7,11)+TIME(7,0,0)+gmt_delta</f>
        <v>43292.75</v>
      </c>
      <c r="S77" s="65" t="str">
        <f>IF(OR(BM32="",BM33=""),"",IF(BM32&gt;BM33,BL32,IF(BM32&lt;BM33,BL33,IF(OR(BN32="",BN33=""),"draw",IF(BN32&gt;BN33,BL32,IF(BN32&lt;BN33,BL33,"draw"))))))</f>
        <v/>
      </c>
      <c r="T77" s="65" t="str">
        <f>IF(OR(S77="",S77="draw"),INDEX(T,99,lang),S77)</f>
        <v>W62</v>
      </c>
      <c r="U77" s="65" t="str">
        <f>IF(OR(BM32="",BM33=""),"",IF(BM32&lt;BM33,BL32,IF(BM32&gt;BM33,BL33,IF(OR(BN32="",BN33=""),"draw",IF(BN32&lt;BN33,BL32,IF(BN32&gt;BN33,BL33,"draw"))))))</f>
        <v/>
      </c>
      <c r="Z77" s="65" t="str">
        <f>IF(OR(U77="",U77="draw"),INDEX(T,101,lang),U77)</f>
        <v>L62</v>
      </c>
    </row>
    <row r="79" spans="18:26" ht="12.75" customHeight="1" x14ac:dyDescent="0.3"/>
    <row r="80" spans="18:26" ht="12.75" customHeight="1" x14ac:dyDescent="0.3"/>
    <row r="81" spans="18:20" x14ac:dyDescent="0.3">
      <c r="R81" s="58">
        <f>DATE(2018,7,14)+TIME(3,0,0)+gmt_delta</f>
        <v>43295.583333333336</v>
      </c>
      <c r="T81" s="65" t="str">
        <f>IF(OR(BS35="",BS36=""),"",IF(BS35&gt;BS36,BR35,IF(BS35&lt;BS36,BR36,IF(OR(BT35="",BT36=""),"",IF(BT35&gt;BT36,BR35,IF(BT35&lt;BT36,BR36,""))))))</f>
        <v/>
      </c>
    </row>
    <row r="83" spans="18:20" ht="12.75" customHeight="1" x14ac:dyDescent="0.3"/>
    <row r="84" spans="18:20" ht="12.75" customHeight="1" x14ac:dyDescent="0.3"/>
    <row r="85" spans="18:20" x14ac:dyDescent="0.3">
      <c r="R85" s="58">
        <f>DATE(2018,7,15)+TIME(4,0,0)+gmt_delta</f>
        <v>43296.625</v>
      </c>
      <c r="S85" s="65" t="str">
        <f>IF(OR(BS23="",BS24=""),"",IF(BS23&gt;BS24,BR23,IF(BS23&lt;BS24,BR24,IF(OR(BT23="",BT24=""),"",IF(BT23&gt;BT24,BR23,IF(BT23&lt;BT24,BR24,""))))))</f>
        <v/>
      </c>
      <c r="T85" s="65" t="str">
        <f>S85</f>
        <v/>
      </c>
    </row>
    <row r="87" spans="18:20" ht="12.75" customHeight="1" x14ac:dyDescent="0.3"/>
    <row r="88" spans="18:20" ht="12.75" customHeight="1" x14ac:dyDescent="0.3"/>
    <row r="96" spans="18:20" ht="12.75" customHeight="1" x14ac:dyDescent="0.3"/>
    <row r="97" ht="12.75" customHeight="1" x14ac:dyDescent="0.3"/>
  </sheetData>
  <sheetProtection algorithmName="SHA-512" hashValue="hexNDhodxxdoIYhe+LOVPFyB2v0aJLQphXCm5lZGwHDaP2ZITl3Lpck5mriyKWgCt8wrzYbwlizwv7dyeeElyw==" saltValue="swcCixFXOL0FnpwQehLBng==" spinCount="100000" sheet="1" objects="1" scenarios="1"/>
  <mergeCells count="28">
    <mergeCell ref="BQ6:BT7"/>
    <mergeCell ref="A1:P1"/>
    <mergeCell ref="O3:P3"/>
    <mergeCell ref="A5:H6"/>
    <mergeCell ref="J5:P6"/>
    <mergeCell ref="AY10:AY11"/>
    <mergeCell ref="BE12:BE13"/>
    <mergeCell ref="AY6:BB7"/>
    <mergeCell ref="BE6:BH7"/>
    <mergeCell ref="BK6:BN7"/>
    <mergeCell ref="AY22:AY23"/>
    <mergeCell ref="BQ23:BQ24"/>
    <mergeCell ref="AY18:AY19"/>
    <mergeCell ref="BE20:BE21"/>
    <mergeCell ref="AY14:AY15"/>
    <mergeCell ref="BK16:BK17"/>
    <mergeCell ref="AY30:AY31"/>
    <mergeCell ref="BQ31:BT32"/>
    <mergeCell ref="BK32:BK33"/>
    <mergeCell ref="AY26:AY27"/>
    <mergeCell ref="BE28:BE29"/>
    <mergeCell ref="AY46:BB52"/>
    <mergeCell ref="AY38:AY39"/>
    <mergeCell ref="BJ41:BN42"/>
    <mergeCell ref="AY34:AY35"/>
    <mergeCell ref="BQ35:BQ36"/>
    <mergeCell ref="BE36:BE37"/>
    <mergeCell ref="BO41:BT42"/>
  </mergeCells>
  <phoneticPr fontId="19" type="noConversion"/>
  <conditionalFormatting sqref="F7:F55">
    <cfRule type="expression" dxfId="99" priority="16" stopIfTrue="1">
      <formula>IF(AND($F7&gt;$G7,ISNUMBER($F7),ISNUMBER($G7)),1,0)</formula>
    </cfRule>
  </conditionalFormatting>
  <conditionalFormatting sqref="G7:G55">
    <cfRule type="expression" dxfId="98" priority="17" stopIfTrue="1">
      <formula>IF(AND($F7&lt;$G7,ISNUMBER($F7),ISNUMBER($G7)),1,0)</formula>
    </cfRule>
  </conditionalFormatting>
  <conditionalFormatting sqref="J15:P15 J9:P9 J45:P45 J21:P21 J27:P27 J33:P33 J39:P39 J51:P51">
    <cfRule type="expression" dxfId="97" priority="18" stopIfTrue="1">
      <formula>IF(SUM($K9:$K12)=12,1,0)</formula>
    </cfRule>
  </conditionalFormatting>
  <conditionalFormatting sqref="J16:P16 J10:P10 J46:P46 J22:P22 J28:P28 J34:P34 J40:P40 J52:P52">
    <cfRule type="expression" dxfId="96" priority="19" stopIfTrue="1">
      <formula>IF(SUM($K9:$K12)=12,1,0)</formula>
    </cfRule>
  </conditionalFormatting>
  <conditionalFormatting sqref="J18:P18 J12:P12 J48:P48 J24:P24 J30:P30 J36:P36 J42:P42 J54:P55">
    <cfRule type="expression" dxfId="95" priority="20" stopIfTrue="1">
      <formula>IF(SUM($K9:$K12)=12,1,0)</formula>
    </cfRule>
  </conditionalFormatting>
  <conditionalFormatting sqref="J11:P11 J17:P17 J23:P23 J29:P29 J35:P35 J41:P41 J47:P47 J53:P53">
    <cfRule type="expression" dxfId="94" priority="21" stopIfTrue="1">
      <formula>IF(SUM($K9:$K12)=12,1,0)</formula>
    </cfRule>
  </conditionalFormatting>
  <conditionalFormatting sqref="BA10 BA14 BA34 BA38 BA26 BA30 BA18 BA22">
    <cfRule type="expression" dxfId="93" priority="28" stopIfTrue="1">
      <formula>IF(AND($BA10&gt;$BA11,ISNUMBER($BA10),ISNUMBER($BA11)),1,0)</formula>
    </cfRule>
  </conditionalFormatting>
  <conditionalFormatting sqref="BA11 BA15 BA35 BA39 BA27 BA31 BA19 BA23">
    <cfRule type="expression" dxfId="92" priority="29" stopIfTrue="1">
      <formula>IF(AND($BA10&lt;$BA11,ISNUMBER($BA10),ISNUMBER($BA11)),1,0)</formula>
    </cfRule>
  </conditionalFormatting>
  <conditionalFormatting sqref="BB10 BB14 BB34 BB38 BB26 BB30 BB18 BB22">
    <cfRule type="expression" dxfId="91" priority="30" stopIfTrue="1">
      <formula>IF(AND($BB10&gt;$BB11,ISNUMBER($BB10),ISNUMBER($BB11)),1,0)</formula>
    </cfRule>
  </conditionalFormatting>
  <conditionalFormatting sqref="BB11 BB15 BB35 BB39 BB27 BB31 BB19 BB23">
    <cfRule type="expression" dxfId="90" priority="31" stopIfTrue="1">
      <formula>IF(AND($BB10&lt;$BB11,ISNUMBER($BB10),ISNUMBER($BB11)),1,0)</formula>
    </cfRule>
  </conditionalFormatting>
  <conditionalFormatting sqref="BG12 BG20 BG28 BG36">
    <cfRule type="expression" dxfId="89" priority="32" stopIfTrue="1">
      <formula>IF(AND($BG12&gt;$BG13,ISNUMBER($BG12),ISNUMBER($BG13)),1,0)</formula>
    </cfRule>
  </conditionalFormatting>
  <conditionalFormatting sqref="BG13 BG21 BG29 BG37">
    <cfRule type="expression" dxfId="88" priority="33" stopIfTrue="1">
      <formula>IF(AND($BG12&lt;$BG13,ISNUMBER($BG12),ISNUMBER($BG13)),1,0)</formula>
    </cfRule>
  </conditionalFormatting>
  <conditionalFormatting sqref="BH12 BH20 BH28 BH36">
    <cfRule type="expression" dxfId="87" priority="34" stopIfTrue="1">
      <formula>IF(AND($BH12&gt;$BH13,ISNUMBER($BH12),ISNUMBER($BH13)),1,0)</formula>
    </cfRule>
  </conditionalFormatting>
  <conditionalFormatting sqref="BH13 BH21 BH29 BH37">
    <cfRule type="expression" dxfId="86" priority="35" stopIfTrue="1">
      <formula>IF(AND($BH12&lt;$BH13,ISNUMBER($BH12),ISNUMBER($BH13)),1,0)</formula>
    </cfRule>
  </conditionalFormatting>
  <conditionalFormatting sqref="BM16 BM32">
    <cfRule type="expression" dxfId="85" priority="36" stopIfTrue="1">
      <formula>IF(AND($BM16&gt;$BM17,ISNUMBER($BM16),ISNUMBER($BM17)),1,0)</formula>
    </cfRule>
  </conditionalFormatting>
  <conditionalFormatting sqref="BM17 BM33">
    <cfRule type="expression" dxfId="84" priority="37" stopIfTrue="1">
      <formula>IF(AND($BM16&lt;$BM17,ISNUMBER($BM16),ISNUMBER($BM17)),1,0)</formula>
    </cfRule>
  </conditionalFormatting>
  <conditionalFormatting sqref="BN16 BN32">
    <cfRule type="expression" dxfId="83" priority="38" stopIfTrue="1">
      <formula>IF(AND($BN16&gt;$BN17,ISNUMBER($BN16),ISNUMBER($BN17)),1,0)</formula>
    </cfRule>
  </conditionalFormatting>
  <conditionalFormatting sqref="BN17 BN33">
    <cfRule type="expression" dxfId="82" priority="39" stopIfTrue="1">
      <formula>IF(AND($BN16&lt;$BN17,ISNUMBER($BN16),ISNUMBER($BN17)),1,0)</formula>
    </cfRule>
  </conditionalFormatting>
  <conditionalFormatting sqref="BS23 BS35">
    <cfRule type="expression" dxfId="81" priority="40" stopIfTrue="1">
      <formula>IF(AND($BS23&gt;$BS24,ISNUMBER($BS23),ISNUMBER($BS24)),1,0)</formula>
    </cfRule>
  </conditionalFormatting>
  <conditionalFormatting sqref="BS24 BS36">
    <cfRule type="expression" dxfId="80" priority="41" stopIfTrue="1">
      <formula>IF(AND($BS23&lt;$BS24,ISNUMBER($BS23),ISNUMBER($BS24)),1,0)</formula>
    </cfRule>
  </conditionalFormatting>
  <conditionalFormatting sqref="BT23 BT35">
    <cfRule type="expression" dxfId="79" priority="42" stopIfTrue="1">
      <formula>IF(AND($BT23&gt;$BT24,ISNUMBER($BT23),ISNUMBER($BT24)),1,0)</formula>
    </cfRule>
  </conditionalFormatting>
  <conditionalFormatting sqref="BT24 BT36">
    <cfRule type="expression" dxfId="78" priority="43" stopIfTrue="1">
      <formula>IF(AND($BT23&lt;$BT24,ISNUMBER($BT23),ISNUMBER($BT24)),1,0)</formula>
    </cfRule>
  </conditionalFormatting>
  <conditionalFormatting sqref="AZ10">
    <cfRule type="expression" dxfId="77" priority="44" stopIfTrue="1">
      <formula>IF($AZ10=$T58,1,0)</formula>
    </cfRule>
    <cfRule type="expression" dxfId="76" priority="45" stopIfTrue="1">
      <formula>IF($AZ11=$T58,1,0)</formula>
    </cfRule>
  </conditionalFormatting>
  <conditionalFormatting sqref="AZ11">
    <cfRule type="expression" dxfId="75" priority="46" stopIfTrue="1">
      <formula>IF($AZ11=$T58,1,0)</formula>
    </cfRule>
    <cfRule type="expression" dxfId="74" priority="47" stopIfTrue="1">
      <formula>IF($AZ10=$T58,1,0)</formula>
    </cfRule>
  </conditionalFormatting>
  <conditionalFormatting sqref="AZ14">
    <cfRule type="expression" dxfId="73" priority="48" stopIfTrue="1">
      <formula>IF($AZ14=$T59,1,0)</formula>
    </cfRule>
    <cfRule type="expression" dxfId="72" priority="49" stopIfTrue="1">
      <formula>IF($AZ15=$T59,1,0)</formula>
    </cfRule>
  </conditionalFormatting>
  <conditionalFormatting sqref="AZ15">
    <cfRule type="expression" dxfId="71" priority="50" stopIfTrue="1">
      <formula>IF($AZ15=$T59,1,0)</formula>
    </cfRule>
    <cfRule type="expression" dxfId="70" priority="51" stopIfTrue="1">
      <formula>IF($AZ14=$T59,1,0)</formula>
    </cfRule>
  </conditionalFormatting>
  <conditionalFormatting sqref="AZ34">
    <cfRule type="expression" dxfId="69" priority="52" stopIfTrue="1">
      <formula>IF($AZ34=$T64,1,0)</formula>
    </cfRule>
    <cfRule type="expression" dxfId="68" priority="53" stopIfTrue="1">
      <formula>IF($AZ35=$T64,1,0)</formula>
    </cfRule>
  </conditionalFormatting>
  <conditionalFormatting sqref="AZ35">
    <cfRule type="expression" dxfId="67" priority="54" stopIfTrue="1">
      <formula>IF($AZ35=$T64,1,0)</formula>
    </cfRule>
    <cfRule type="expression" dxfId="66" priority="55" stopIfTrue="1">
      <formula>IF($AZ34=$T64,1,0)</formula>
    </cfRule>
  </conditionalFormatting>
  <conditionalFormatting sqref="AZ38">
    <cfRule type="expression" dxfId="65" priority="56" stopIfTrue="1">
      <formula>IF($AZ38=$T65,1,0)</formula>
    </cfRule>
    <cfRule type="expression" dxfId="64" priority="57" stopIfTrue="1">
      <formula>IF($AZ39=$T65,1,0)</formula>
    </cfRule>
  </conditionalFormatting>
  <conditionalFormatting sqref="AZ39">
    <cfRule type="expression" dxfId="63" priority="58" stopIfTrue="1">
      <formula>IF($AZ39=$T65,1,0)</formula>
    </cfRule>
    <cfRule type="expression" dxfId="62" priority="59" stopIfTrue="1">
      <formula>IF($AZ38=$T65,1,0)</formula>
    </cfRule>
  </conditionalFormatting>
  <conditionalFormatting sqref="AZ26">
    <cfRule type="expression" dxfId="61" priority="60" stopIfTrue="1">
      <formula>IF($AZ26=$T60,1,0)</formula>
    </cfRule>
    <cfRule type="expression" dxfId="60" priority="61" stopIfTrue="1">
      <formula>IF($AZ27=$T60,1,0)</formula>
    </cfRule>
  </conditionalFormatting>
  <conditionalFormatting sqref="AZ27">
    <cfRule type="expression" dxfId="59" priority="62" stopIfTrue="1">
      <formula>IF($AZ27=$T60,1,0)</formula>
    </cfRule>
    <cfRule type="expression" dxfId="58" priority="63" stopIfTrue="1">
      <formula>IF($AZ26=$T60,1,0)</formula>
    </cfRule>
  </conditionalFormatting>
  <conditionalFormatting sqref="AZ30">
    <cfRule type="expression" dxfId="57" priority="64" stopIfTrue="1">
      <formula>IF($AZ30=$T61,1,0)</formula>
    </cfRule>
    <cfRule type="expression" dxfId="56" priority="65" stopIfTrue="1">
      <formula>IF($AZ31=$T61,1,0)</formula>
    </cfRule>
  </conditionalFormatting>
  <conditionalFormatting sqref="AZ31">
    <cfRule type="expression" dxfId="55" priority="66" stopIfTrue="1">
      <formula>IF($AZ31=$T61,1,0)</formula>
    </cfRule>
    <cfRule type="expression" dxfId="54" priority="67" stopIfTrue="1">
      <formula>IF($AZ30=$T61,1,0)</formula>
    </cfRule>
  </conditionalFormatting>
  <conditionalFormatting sqref="AZ18">
    <cfRule type="expression" dxfId="53" priority="68" stopIfTrue="1">
      <formula>IF($AZ18=$T62,1,0)</formula>
    </cfRule>
    <cfRule type="expression" dxfId="52" priority="69" stopIfTrue="1">
      <formula>IF($AZ19=$T62,1,0)</formula>
    </cfRule>
  </conditionalFormatting>
  <conditionalFormatting sqref="AZ19">
    <cfRule type="expression" dxfId="51" priority="70" stopIfTrue="1">
      <formula>IF($AZ19=$T62,1,0)</formula>
    </cfRule>
    <cfRule type="expression" dxfId="50" priority="71" stopIfTrue="1">
      <formula>IF($AZ18=$T62,1,0)</formula>
    </cfRule>
  </conditionalFormatting>
  <conditionalFormatting sqref="AZ22">
    <cfRule type="expression" dxfId="49" priority="72" stopIfTrue="1">
      <formula>IF($AZ22=$T63,1,0)</formula>
    </cfRule>
    <cfRule type="expression" dxfId="48" priority="73" stopIfTrue="1">
      <formula>IF($AZ23=$T63,1,0)</formula>
    </cfRule>
  </conditionalFormatting>
  <conditionalFormatting sqref="AZ23">
    <cfRule type="expression" dxfId="47" priority="74" stopIfTrue="1">
      <formula>IF($AZ23=$T63,1,0)</formula>
    </cfRule>
    <cfRule type="expression" dxfId="46" priority="75" stopIfTrue="1">
      <formula>IF($AZ22=$T63,1,0)</formula>
    </cfRule>
  </conditionalFormatting>
  <conditionalFormatting sqref="BF12">
    <cfRule type="expression" dxfId="45" priority="76" stopIfTrue="1">
      <formula>IF($BF12=$T69,1,0)</formula>
    </cfRule>
    <cfRule type="expression" dxfId="44" priority="77" stopIfTrue="1">
      <formula>IF($BF13=$T69,1,0)</formula>
    </cfRule>
  </conditionalFormatting>
  <conditionalFormatting sqref="BF13">
    <cfRule type="expression" dxfId="43" priority="78" stopIfTrue="1">
      <formula>IF($BF13=$T69,1,0)</formula>
    </cfRule>
    <cfRule type="expression" dxfId="42" priority="79" stopIfTrue="1">
      <formula>IF($BF12=$T69,1,0)</formula>
    </cfRule>
  </conditionalFormatting>
  <conditionalFormatting sqref="BF20">
    <cfRule type="expression" dxfId="41" priority="80" stopIfTrue="1">
      <formula>IF($BF20=$T70,1,0)</formula>
    </cfRule>
    <cfRule type="expression" dxfId="40" priority="81" stopIfTrue="1">
      <formula>IF($BF21=$T70,1,0)</formula>
    </cfRule>
  </conditionalFormatting>
  <conditionalFormatting sqref="BF21">
    <cfRule type="expression" dxfId="39" priority="82" stopIfTrue="1">
      <formula>IF($BF21=$T70,1,0)</formula>
    </cfRule>
    <cfRule type="expression" dxfId="38" priority="83" stopIfTrue="1">
      <formula>IF($BF20=$T70,1,0)</formula>
    </cfRule>
  </conditionalFormatting>
  <conditionalFormatting sqref="BF28">
    <cfRule type="expression" dxfId="37" priority="84" stopIfTrue="1">
      <formula>IF($BF28=$T71,1,0)</formula>
    </cfRule>
    <cfRule type="expression" dxfId="36" priority="85" stopIfTrue="1">
      <formula>IF($BF29=$T71,1,0)</formula>
    </cfRule>
  </conditionalFormatting>
  <conditionalFormatting sqref="BF29">
    <cfRule type="expression" dxfId="35" priority="86" stopIfTrue="1">
      <formula>IF($BF29=$T71,1,0)</formula>
    </cfRule>
    <cfRule type="expression" dxfId="34" priority="87" stopIfTrue="1">
      <formula>IF($BF28=$T71,1,0)</formula>
    </cfRule>
  </conditionalFormatting>
  <conditionalFormatting sqref="BF36">
    <cfRule type="expression" dxfId="33" priority="88" stopIfTrue="1">
      <formula>IF($BF36=$T72,1,0)</formula>
    </cfRule>
    <cfRule type="expression" dxfId="32" priority="89" stopIfTrue="1">
      <formula>IF($BF37=$T72,1,0)</formula>
    </cfRule>
  </conditionalFormatting>
  <conditionalFormatting sqref="BF37">
    <cfRule type="expression" dxfId="31" priority="90" stopIfTrue="1">
      <formula>IF($BF37=$T72,1,0)</formula>
    </cfRule>
    <cfRule type="expression" dxfId="30" priority="91" stopIfTrue="1">
      <formula>IF($BF36=$T72,1,0)</formula>
    </cfRule>
  </conditionalFormatting>
  <conditionalFormatting sqref="BL16">
    <cfRule type="expression" dxfId="29" priority="92" stopIfTrue="1">
      <formula>IF($BL16=$T76,1,0)</formula>
    </cfRule>
    <cfRule type="expression" dxfId="28" priority="93" stopIfTrue="1">
      <formula>IF($BL17=$T76,1,0)</formula>
    </cfRule>
  </conditionalFormatting>
  <conditionalFormatting sqref="BL17">
    <cfRule type="expression" dxfId="27" priority="94" stopIfTrue="1">
      <formula>IF($BL17=$T76,1,0)</formula>
    </cfRule>
    <cfRule type="expression" dxfId="26" priority="95" stopIfTrue="1">
      <formula>IF($BL16=$T76,1,0)</formula>
    </cfRule>
  </conditionalFormatting>
  <conditionalFormatting sqref="BL32">
    <cfRule type="expression" dxfId="25" priority="96" stopIfTrue="1">
      <formula>IF($BL32=$T77,1,0)</formula>
    </cfRule>
    <cfRule type="expression" dxfId="24" priority="97" stopIfTrue="1">
      <formula>IF($BL33=$T77,1,0)</formula>
    </cfRule>
  </conditionalFormatting>
  <conditionalFormatting sqref="BL33">
    <cfRule type="expression" dxfId="23" priority="98" stopIfTrue="1">
      <formula>IF($BL33=$T77,1,0)</formula>
    </cfRule>
    <cfRule type="expression" dxfId="22" priority="99" stopIfTrue="1">
      <formula>IF($BL32=$T77,1,0)</formula>
    </cfRule>
  </conditionalFormatting>
  <conditionalFormatting sqref="BR23">
    <cfRule type="expression" dxfId="21" priority="100" stopIfTrue="1">
      <formula>IF($BR23=$T85,1,0)</formula>
    </cfRule>
    <cfRule type="expression" dxfId="20" priority="101" stopIfTrue="1">
      <formula>IF($BR24=$T85,1,0)</formula>
    </cfRule>
  </conditionalFormatting>
  <conditionalFormatting sqref="BR24">
    <cfRule type="expression" dxfId="19" priority="102" stopIfTrue="1">
      <formula>IF($BR24=$T85,1,0)</formula>
    </cfRule>
    <cfRule type="expression" dxfId="18" priority="103" stopIfTrue="1">
      <formula>IF($BR23=$T85,1,0)</formula>
    </cfRule>
  </conditionalFormatting>
  <conditionalFormatting sqref="BR35">
    <cfRule type="expression" dxfId="17" priority="104" stopIfTrue="1">
      <formula>IF($BR35=$T81,1,0)</formula>
    </cfRule>
    <cfRule type="expression" dxfId="16" priority="105" stopIfTrue="1">
      <formula>IF($BR36=$T81,1,0)</formula>
    </cfRule>
  </conditionalFormatting>
  <conditionalFormatting sqref="BR36">
    <cfRule type="expression" dxfId="15" priority="106" stopIfTrue="1">
      <formula>IF($BR36=$T81,1,0)</formula>
    </cfRule>
    <cfRule type="expression" dxfId="14" priority="107" stopIfTrue="1">
      <formula>IF($BR35=$T81,1,0)</formula>
    </cfRule>
  </conditionalFormatting>
  <conditionalFormatting sqref="E7:E54">
    <cfRule type="expression" dxfId="13" priority="8">
      <formula>IF(AND(X7=0,Y7=-1),1,0)</formula>
    </cfRule>
    <cfRule type="expression" dxfId="12" priority="9">
      <formula>IF(AND(X7=1,Y7=-1),1,0)</formula>
    </cfRule>
    <cfRule type="expression" dxfId="11" priority="10">
      <formula>IF(AND(X7=0,Y7=1),1,0)</formula>
    </cfRule>
    <cfRule type="expression" dxfId="10" priority="11">
      <formula>IF(AND(X7=1,Y7=1),1,0)</formula>
    </cfRule>
    <cfRule type="expression" dxfId="9" priority="12">
      <formula>IF(AND(X7=0,Y7=0),1,0)</formula>
    </cfRule>
    <cfRule type="expression" dxfId="8" priority="13">
      <formula>IF(AND(X7=1,Y7=0),1,0)</formula>
    </cfRule>
  </conditionalFormatting>
  <conditionalFormatting sqref="H7:H54">
    <cfRule type="expression" dxfId="7" priority="2">
      <formula>IF(AND(X7=0,Y7=-1),1,0)</formula>
    </cfRule>
    <cfRule type="expression" dxfId="6" priority="3">
      <formula>IF(AND(X7=1,Y7=-1),1,0)</formula>
    </cfRule>
    <cfRule type="expression" dxfId="5" priority="4">
      <formula>IF(AND(X7=0,Y7=1),1,0)</formula>
    </cfRule>
    <cfRule type="expression" dxfId="4" priority="5">
      <formula>IF(AND(X7=1,Y7=1),1,0)</formula>
    </cfRule>
    <cfRule type="expression" dxfId="3" priority="6">
      <formula>IF(AND(X7=0,Y7=0),1,0)</formula>
    </cfRule>
    <cfRule type="expression" dxfId="2" priority="7">
      <formula>IF(AND(X7=1,Y7=0),1,0)</formula>
    </cfRule>
    <cfRule type="expression" dxfId="1" priority="14">
      <formula>IF(AND(X7=1,Y7=""),1,0)</formula>
    </cfRule>
  </conditionalFormatting>
  <conditionalFormatting sqref="A7:E54">
    <cfRule type="expression" dxfId="0" priority="1">
      <formula>IF($X7=1,1,0)</formula>
    </cfRule>
  </conditionalFormatting>
  <dataValidations count="2">
    <dataValidation type="list" allowBlank="1" showInputMessage="1" showErrorMessage="1" sqref="BB10:BB11 BB14:BB15 BB26:BB27 BB30:BB31 BB18:BB19 BB22:BB23 BB34:BB35 BB38:BB39 BH12:BH13 BH20:BH21 BH28:BH29 BH36:BH37 BN16:BN17 BN32:BN33 BT23:BT24 BT35:BT36">
      <formula1>"0,1,2,3,4,5,6,7,8,9,10,11,12,13,14,15,16,17,18,19,20"</formula1>
    </dataValidation>
    <dataValidation type="list" allowBlank="1" showInputMessage="1" showErrorMessage="1" sqref="F7:G55 BA26:BA27 BA10:BA11 BA14:BA15 BA30:BA31 BA18:BA19 BA22:BA23 BA34:BA35 BA38:BA39 BG12:BG13 BG20:BG21 BG28:BG29 BG36:BG37 BM16:BM17 BM32:BM33 BS23:BS24 BS35:BS36">
      <formula1>"0,1,2,3,4,5,6,7,8,9"</formula1>
    </dataValidation>
  </dataValidations>
  <hyperlinks>
    <hyperlink ref="O3" location="Settings!C4" tooltip="Settings" display="Settings!C4"/>
    <hyperlink ref="J5:P5" r:id="rId1" tooltip="Excel Schedule" display="Home Page: www.excely.com"/>
    <hyperlink ref="J5:P6" r:id="rId2" tooltip="World Cup 2018 Schedule in Excel" display="Home Page: www.excely.com"/>
    <hyperlink ref="AY46:BB52" r:id="rId3" tooltip="FIFA World Cup Historical Data 1930 - 2014" display="http://www.excely.com/football/fifa-world-cup-statistics.shtml"/>
  </hyperlinks>
  <printOptions horizontalCentered="1" verticalCentered="1"/>
  <pageMargins left="0.7" right="0.7" top="0.75" bottom="0.75" header="0.3" footer="0.3"/>
  <pageSetup paperSize="9" scale="48" orientation="landscape" r:id="rId4"/>
  <headerFooter>
    <oddFooter>&amp;Cwww.excely.com (c) 2018</oddFooter>
  </headerFooter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7</vt:i4>
      </vt:variant>
    </vt:vector>
  </HeadingPairs>
  <TitlesOfParts>
    <vt:vector size="10" baseType="lpstr">
      <vt:lpstr>T</vt:lpstr>
      <vt:lpstr>Settings</vt:lpstr>
      <vt:lpstr>2018 World Cup</vt:lpstr>
      <vt:lpstr>db_fifarank</vt:lpstr>
      <vt:lpstr>gmt_delta</vt:lpstr>
      <vt:lpstr>lang</vt:lpstr>
      <vt:lpstr>lang_list</vt:lpstr>
      <vt:lpstr>my_team</vt:lpstr>
      <vt:lpstr>T</vt:lpstr>
      <vt:lpstr>teams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2018 FIFA World Cup Schedule</dc:title>
  <dc:creator>Denys Kozyr</dc:creator>
  <cp:keywords>fifa;world cup;schedule;spreadsheet</cp:keywords>
  <cp:lastModifiedBy>taegon</cp:lastModifiedBy>
  <cp:lastPrinted>2018-01-03T15:36:04Z</cp:lastPrinted>
  <dcterms:created xsi:type="dcterms:W3CDTF">2017-12-27T19:32:51Z</dcterms:created>
  <dcterms:modified xsi:type="dcterms:W3CDTF">2018-06-24T16:51:38Z</dcterms:modified>
</cp:coreProperties>
</file>