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0_GTwinS\010_Project\04_아이콘 검색기\종목분석\"/>
    </mc:Choice>
  </mc:AlternateContent>
  <xr:revisionPtr revIDLastSave="0" documentId="8_{CC290F72-396A-4926-9100-6454ED7E17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heme Lis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7" i="1" l="1"/>
  <c r="A307" i="1"/>
  <c r="C477" i="1"/>
  <c r="C476" i="1"/>
  <c r="A476" i="1"/>
  <c r="A477" i="1"/>
  <c r="A478" i="1"/>
  <c r="C918" i="1"/>
  <c r="C917" i="1"/>
  <c r="A918" i="1"/>
  <c r="A739" i="1"/>
  <c r="A740" i="1"/>
  <c r="A741" i="1"/>
  <c r="A742" i="1"/>
  <c r="A743" i="1"/>
  <c r="C743" i="1"/>
  <c r="C742" i="1"/>
  <c r="C741" i="1"/>
  <c r="C740" i="1"/>
  <c r="C739" i="1"/>
  <c r="C591" i="1"/>
  <c r="C679" i="1"/>
  <c r="C678" i="1"/>
  <c r="C897" i="1"/>
  <c r="C896" i="1"/>
  <c r="C895" i="1"/>
  <c r="C894" i="1"/>
  <c r="A678" i="1"/>
  <c r="A679" i="1"/>
  <c r="A591" i="1"/>
  <c r="A382" i="1"/>
  <c r="A2" i="1"/>
  <c r="C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58" i="1"/>
  <c r="C358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367" i="1"/>
  <c r="C367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376" i="1"/>
  <c r="C376" i="1"/>
  <c r="A377" i="1"/>
  <c r="C377" i="1"/>
  <c r="A378" i="1"/>
  <c r="C378" i="1"/>
  <c r="A379" i="1"/>
  <c r="C379" i="1"/>
  <c r="A380" i="1"/>
  <c r="C380" i="1"/>
  <c r="A381" i="1"/>
  <c r="C381" i="1"/>
  <c r="A383" i="1"/>
  <c r="C383" i="1"/>
  <c r="A384" i="1"/>
  <c r="C384" i="1"/>
  <c r="A385" i="1"/>
  <c r="C385" i="1"/>
  <c r="A386" i="1"/>
  <c r="C386" i="1"/>
  <c r="A387" i="1"/>
  <c r="C387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A518" i="1"/>
  <c r="C518" i="1"/>
  <c r="A519" i="1"/>
  <c r="C519" i="1"/>
  <c r="A520" i="1"/>
  <c r="C520" i="1"/>
  <c r="A521" i="1"/>
  <c r="C521" i="1"/>
  <c r="A522" i="1"/>
  <c r="C522" i="1"/>
  <c r="A523" i="1"/>
  <c r="C523" i="1"/>
  <c r="A524" i="1"/>
  <c r="C524" i="1"/>
  <c r="A525" i="1"/>
  <c r="C525" i="1"/>
  <c r="A526" i="1"/>
  <c r="C526" i="1"/>
  <c r="A527" i="1"/>
  <c r="C527" i="1"/>
  <c r="A528" i="1"/>
  <c r="C528" i="1"/>
  <c r="A529" i="1"/>
  <c r="C529" i="1"/>
  <c r="A530" i="1"/>
  <c r="C530" i="1"/>
  <c r="A531" i="1"/>
  <c r="C531" i="1"/>
  <c r="A532" i="1"/>
  <c r="C532" i="1"/>
  <c r="A533" i="1"/>
  <c r="C533" i="1"/>
  <c r="A534" i="1"/>
  <c r="C534" i="1"/>
  <c r="A535" i="1"/>
  <c r="C535" i="1"/>
  <c r="A536" i="1"/>
  <c r="C536" i="1"/>
  <c r="A537" i="1"/>
  <c r="C537" i="1"/>
  <c r="A538" i="1"/>
  <c r="C538" i="1"/>
  <c r="A539" i="1"/>
  <c r="C539" i="1"/>
  <c r="A540" i="1"/>
  <c r="C540" i="1"/>
  <c r="A541" i="1"/>
  <c r="C541" i="1"/>
  <c r="A542" i="1"/>
  <c r="C542" i="1"/>
  <c r="A543" i="1"/>
  <c r="C543" i="1"/>
  <c r="A544" i="1"/>
  <c r="C544" i="1"/>
  <c r="A545" i="1"/>
  <c r="C545" i="1"/>
  <c r="A546" i="1"/>
  <c r="C546" i="1"/>
  <c r="A547" i="1"/>
  <c r="C547" i="1"/>
  <c r="A548" i="1"/>
  <c r="C548" i="1"/>
  <c r="A549" i="1"/>
  <c r="C549" i="1"/>
  <c r="A550" i="1"/>
  <c r="C550" i="1"/>
  <c r="A551" i="1"/>
  <c r="C551" i="1"/>
  <c r="A552" i="1"/>
  <c r="C552" i="1"/>
  <c r="A553" i="1"/>
  <c r="C553" i="1"/>
  <c r="A554" i="1"/>
  <c r="C554" i="1"/>
  <c r="A555" i="1"/>
  <c r="C555" i="1"/>
  <c r="A556" i="1"/>
  <c r="C556" i="1"/>
  <c r="A557" i="1"/>
  <c r="C557" i="1"/>
  <c r="A558" i="1"/>
  <c r="C558" i="1"/>
  <c r="A559" i="1"/>
  <c r="C559" i="1"/>
  <c r="A560" i="1"/>
  <c r="C560" i="1"/>
  <c r="A561" i="1"/>
  <c r="C561" i="1"/>
  <c r="A562" i="1"/>
  <c r="C562" i="1"/>
  <c r="A563" i="1"/>
  <c r="C563" i="1"/>
  <c r="A564" i="1"/>
  <c r="C564" i="1"/>
  <c r="A565" i="1"/>
  <c r="C565" i="1"/>
  <c r="A566" i="1"/>
  <c r="C566" i="1"/>
  <c r="A567" i="1"/>
  <c r="C567" i="1"/>
  <c r="A568" i="1"/>
  <c r="C568" i="1"/>
  <c r="A569" i="1"/>
  <c r="C569" i="1"/>
  <c r="A570" i="1"/>
  <c r="C570" i="1"/>
  <c r="A571" i="1"/>
  <c r="C571" i="1"/>
  <c r="A572" i="1"/>
  <c r="C572" i="1"/>
  <c r="A573" i="1"/>
  <c r="C573" i="1"/>
  <c r="A574" i="1"/>
  <c r="C574" i="1"/>
  <c r="A575" i="1"/>
  <c r="C575" i="1"/>
  <c r="A576" i="1"/>
  <c r="C576" i="1"/>
  <c r="A577" i="1"/>
  <c r="C577" i="1"/>
  <c r="A578" i="1"/>
  <c r="C578" i="1"/>
  <c r="A579" i="1"/>
  <c r="C579" i="1"/>
  <c r="A580" i="1"/>
  <c r="C580" i="1"/>
  <c r="A581" i="1"/>
  <c r="C581" i="1"/>
  <c r="A582" i="1"/>
  <c r="C582" i="1"/>
  <c r="A583" i="1"/>
  <c r="C583" i="1"/>
  <c r="A584" i="1"/>
  <c r="C584" i="1"/>
  <c r="A585" i="1"/>
  <c r="C585" i="1"/>
  <c r="A586" i="1"/>
  <c r="C586" i="1"/>
  <c r="A587" i="1"/>
  <c r="C587" i="1"/>
  <c r="A588" i="1"/>
  <c r="C588" i="1"/>
  <c r="A589" i="1"/>
  <c r="C589" i="1"/>
  <c r="A590" i="1"/>
  <c r="C590" i="1"/>
  <c r="A592" i="1"/>
  <c r="C592" i="1"/>
  <c r="A593" i="1"/>
  <c r="C593" i="1"/>
  <c r="A594" i="1"/>
  <c r="C594" i="1"/>
  <c r="A595" i="1"/>
  <c r="C595" i="1"/>
  <c r="A596" i="1"/>
  <c r="C596" i="1"/>
  <c r="A597" i="1"/>
  <c r="C597" i="1"/>
  <c r="A598" i="1"/>
  <c r="C598" i="1"/>
  <c r="A599" i="1"/>
  <c r="C599" i="1"/>
  <c r="A600" i="1"/>
  <c r="C600" i="1"/>
  <c r="A601" i="1"/>
  <c r="C601" i="1"/>
  <c r="A602" i="1"/>
  <c r="C602" i="1"/>
  <c r="A603" i="1"/>
  <c r="C603" i="1"/>
  <c r="A604" i="1"/>
  <c r="C604" i="1"/>
  <c r="A605" i="1"/>
  <c r="C605" i="1"/>
  <c r="A606" i="1"/>
  <c r="C606" i="1"/>
  <c r="A607" i="1"/>
  <c r="C607" i="1"/>
  <c r="A608" i="1"/>
  <c r="C608" i="1"/>
  <c r="A609" i="1"/>
  <c r="C609" i="1"/>
  <c r="A610" i="1"/>
  <c r="C610" i="1"/>
  <c r="A611" i="1"/>
  <c r="C611" i="1"/>
  <c r="A612" i="1"/>
  <c r="C612" i="1"/>
  <c r="A613" i="1"/>
  <c r="C613" i="1"/>
  <c r="A614" i="1"/>
  <c r="C614" i="1"/>
  <c r="A615" i="1"/>
  <c r="C615" i="1"/>
  <c r="A616" i="1"/>
  <c r="C616" i="1"/>
  <c r="A617" i="1"/>
  <c r="C617" i="1"/>
  <c r="A618" i="1"/>
  <c r="C618" i="1"/>
  <c r="A619" i="1"/>
  <c r="C619" i="1"/>
  <c r="A620" i="1"/>
  <c r="C620" i="1"/>
  <c r="A621" i="1"/>
  <c r="C621" i="1"/>
  <c r="A622" i="1"/>
  <c r="C622" i="1"/>
  <c r="A623" i="1"/>
  <c r="C623" i="1"/>
  <c r="A624" i="1"/>
  <c r="C624" i="1"/>
  <c r="A625" i="1"/>
  <c r="C625" i="1"/>
  <c r="A626" i="1"/>
  <c r="C626" i="1"/>
  <c r="A627" i="1"/>
  <c r="C627" i="1"/>
  <c r="A628" i="1"/>
  <c r="C628" i="1"/>
  <c r="A629" i="1"/>
  <c r="C629" i="1"/>
  <c r="A630" i="1"/>
  <c r="C630" i="1"/>
  <c r="A631" i="1"/>
  <c r="C631" i="1"/>
  <c r="A632" i="1"/>
  <c r="C632" i="1"/>
  <c r="A633" i="1"/>
  <c r="C633" i="1"/>
  <c r="A634" i="1"/>
  <c r="C634" i="1"/>
  <c r="A635" i="1"/>
  <c r="C635" i="1"/>
  <c r="A636" i="1"/>
  <c r="C636" i="1"/>
  <c r="A637" i="1"/>
  <c r="C637" i="1"/>
  <c r="A638" i="1"/>
  <c r="C638" i="1"/>
  <c r="A639" i="1"/>
  <c r="C639" i="1"/>
  <c r="A640" i="1"/>
  <c r="C640" i="1"/>
  <c r="A641" i="1"/>
  <c r="C641" i="1"/>
  <c r="A642" i="1"/>
  <c r="C642" i="1"/>
  <c r="A643" i="1"/>
  <c r="C643" i="1"/>
  <c r="A644" i="1"/>
  <c r="C644" i="1"/>
  <c r="A645" i="1"/>
  <c r="C645" i="1"/>
  <c r="A646" i="1"/>
  <c r="C646" i="1"/>
  <c r="A647" i="1"/>
  <c r="C647" i="1"/>
  <c r="A648" i="1"/>
  <c r="C648" i="1"/>
  <c r="A649" i="1"/>
  <c r="C649" i="1"/>
  <c r="A650" i="1"/>
  <c r="C650" i="1"/>
  <c r="A651" i="1"/>
  <c r="C651" i="1"/>
  <c r="A652" i="1"/>
  <c r="C652" i="1"/>
  <c r="A653" i="1"/>
  <c r="C653" i="1"/>
  <c r="A654" i="1"/>
  <c r="C654" i="1"/>
  <c r="A655" i="1"/>
  <c r="C655" i="1"/>
  <c r="A656" i="1"/>
  <c r="C656" i="1"/>
  <c r="A657" i="1"/>
  <c r="C657" i="1"/>
  <c r="A658" i="1"/>
  <c r="C658" i="1"/>
  <c r="A659" i="1"/>
  <c r="C659" i="1"/>
  <c r="A660" i="1"/>
  <c r="C660" i="1"/>
  <c r="A661" i="1"/>
  <c r="C661" i="1"/>
  <c r="A662" i="1"/>
  <c r="C662" i="1"/>
  <c r="A663" i="1"/>
  <c r="C663" i="1"/>
  <c r="A664" i="1"/>
  <c r="C664" i="1"/>
  <c r="A665" i="1"/>
  <c r="C665" i="1"/>
  <c r="A666" i="1"/>
  <c r="C666" i="1"/>
  <c r="A667" i="1"/>
  <c r="C667" i="1"/>
  <c r="A668" i="1"/>
  <c r="C668" i="1"/>
  <c r="A669" i="1"/>
  <c r="C669" i="1"/>
  <c r="A670" i="1"/>
  <c r="C670" i="1"/>
  <c r="A671" i="1"/>
  <c r="C671" i="1"/>
  <c r="A672" i="1"/>
  <c r="C672" i="1"/>
  <c r="A673" i="1"/>
  <c r="C673" i="1"/>
  <c r="A674" i="1"/>
  <c r="C674" i="1"/>
  <c r="A675" i="1"/>
  <c r="C675" i="1"/>
  <c r="A676" i="1"/>
  <c r="C676" i="1"/>
  <c r="A677" i="1"/>
  <c r="C677" i="1"/>
  <c r="A680" i="1"/>
  <c r="C680" i="1"/>
  <c r="A681" i="1"/>
  <c r="C681" i="1"/>
  <c r="A682" i="1"/>
  <c r="C682" i="1"/>
  <c r="A683" i="1"/>
  <c r="C683" i="1"/>
  <c r="A684" i="1"/>
  <c r="C684" i="1"/>
  <c r="A685" i="1"/>
  <c r="C685" i="1"/>
  <c r="A686" i="1"/>
  <c r="C686" i="1"/>
  <c r="A687" i="1"/>
  <c r="C687" i="1"/>
  <c r="A688" i="1"/>
  <c r="C688" i="1"/>
  <c r="A689" i="1"/>
  <c r="C689" i="1"/>
  <c r="A690" i="1"/>
  <c r="C690" i="1"/>
  <c r="A691" i="1"/>
  <c r="C691" i="1"/>
  <c r="A692" i="1"/>
  <c r="C692" i="1"/>
  <c r="A693" i="1"/>
  <c r="C693" i="1"/>
  <c r="A694" i="1"/>
  <c r="C694" i="1"/>
  <c r="A695" i="1"/>
  <c r="C695" i="1"/>
  <c r="A696" i="1"/>
  <c r="C696" i="1"/>
  <c r="A697" i="1"/>
  <c r="C697" i="1"/>
  <c r="A698" i="1"/>
  <c r="C698" i="1"/>
  <c r="A699" i="1"/>
  <c r="C699" i="1"/>
  <c r="A700" i="1"/>
  <c r="C700" i="1"/>
  <c r="A701" i="1"/>
  <c r="C701" i="1"/>
  <c r="A702" i="1"/>
  <c r="C702" i="1"/>
  <c r="A703" i="1"/>
  <c r="C703" i="1"/>
  <c r="A704" i="1"/>
  <c r="C704" i="1"/>
  <c r="A705" i="1"/>
  <c r="C705" i="1"/>
  <c r="A706" i="1"/>
  <c r="C706" i="1"/>
  <c r="A707" i="1"/>
  <c r="C707" i="1"/>
  <c r="A708" i="1"/>
  <c r="C708" i="1"/>
  <c r="A709" i="1"/>
  <c r="C709" i="1"/>
  <c r="A710" i="1"/>
  <c r="C710" i="1"/>
  <c r="A711" i="1"/>
  <c r="C711" i="1"/>
  <c r="A712" i="1"/>
  <c r="C712" i="1"/>
  <c r="A713" i="1"/>
  <c r="C713" i="1"/>
  <c r="A714" i="1"/>
  <c r="C714" i="1"/>
  <c r="A715" i="1"/>
  <c r="C715" i="1"/>
  <c r="A716" i="1"/>
  <c r="C716" i="1"/>
  <c r="A717" i="1"/>
  <c r="C717" i="1"/>
  <c r="A718" i="1"/>
  <c r="C718" i="1"/>
  <c r="A719" i="1"/>
  <c r="C719" i="1"/>
  <c r="A720" i="1"/>
  <c r="C720" i="1"/>
  <c r="A721" i="1"/>
  <c r="C721" i="1"/>
  <c r="A722" i="1"/>
  <c r="C722" i="1"/>
  <c r="A723" i="1"/>
  <c r="C723" i="1"/>
  <c r="A724" i="1"/>
  <c r="C724" i="1"/>
  <c r="A725" i="1"/>
  <c r="C725" i="1"/>
  <c r="A726" i="1"/>
  <c r="C726" i="1"/>
  <c r="A727" i="1"/>
  <c r="C727" i="1"/>
  <c r="A728" i="1"/>
  <c r="C728" i="1"/>
  <c r="A729" i="1"/>
  <c r="C729" i="1"/>
  <c r="A730" i="1"/>
  <c r="C730" i="1"/>
  <c r="A731" i="1"/>
  <c r="C731" i="1"/>
  <c r="A732" i="1"/>
  <c r="C732" i="1"/>
  <c r="A733" i="1"/>
  <c r="C733" i="1"/>
  <c r="A734" i="1"/>
  <c r="C734" i="1"/>
  <c r="A735" i="1"/>
  <c r="C735" i="1"/>
  <c r="A736" i="1"/>
  <c r="C736" i="1"/>
  <c r="A737" i="1"/>
  <c r="C737" i="1"/>
  <c r="A738" i="1"/>
  <c r="C738" i="1"/>
  <c r="A744" i="1"/>
  <c r="C744" i="1"/>
  <c r="A745" i="1"/>
  <c r="C745" i="1"/>
  <c r="A746" i="1"/>
  <c r="C746" i="1"/>
  <c r="A747" i="1"/>
  <c r="C747" i="1"/>
  <c r="A748" i="1"/>
  <c r="C748" i="1"/>
  <c r="A749" i="1"/>
  <c r="C749" i="1"/>
  <c r="A750" i="1"/>
  <c r="C750" i="1"/>
  <c r="A751" i="1"/>
  <c r="C751" i="1"/>
  <c r="A752" i="1"/>
  <c r="C752" i="1"/>
  <c r="A753" i="1"/>
  <c r="C753" i="1"/>
  <c r="A754" i="1"/>
  <c r="C754" i="1"/>
  <c r="A755" i="1"/>
  <c r="C755" i="1"/>
  <c r="A756" i="1"/>
  <c r="C756" i="1"/>
  <c r="A757" i="1"/>
  <c r="C757" i="1"/>
  <c r="A758" i="1"/>
  <c r="C758" i="1"/>
  <c r="A759" i="1"/>
  <c r="C759" i="1"/>
  <c r="A760" i="1"/>
  <c r="C760" i="1"/>
  <c r="A761" i="1"/>
  <c r="C761" i="1"/>
  <c r="A762" i="1"/>
  <c r="C762" i="1"/>
  <c r="A763" i="1"/>
  <c r="C763" i="1"/>
  <c r="A764" i="1"/>
  <c r="C764" i="1"/>
  <c r="A765" i="1"/>
  <c r="C765" i="1"/>
  <c r="A766" i="1"/>
  <c r="C766" i="1"/>
  <c r="A767" i="1"/>
  <c r="C767" i="1"/>
  <c r="A768" i="1"/>
  <c r="C768" i="1"/>
  <c r="A769" i="1"/>
  <c r="C769" i="1"/>
  <c r="A770" i="1"/>
  <c r="C770" i="1"/>
  <c r="A771" i="1"/>
  <c r="C771" i="1"/>
  <c r="A772" i="1"/>
  <c r="C772" i="1"/>
  <c r="A773" i="1"/>
  <c r="C773" i="1"/>
  <c r="A774" i="1"/>
  <c r="C774" i="1"/>
  <c r="A775" i="1"/>
  <c r="C775" i="1"/>
  <c r="A776" i="1"/>
  <c r="C776" i="1"/>
  <c r="A777" i="1"/>
  <c r="C777" i="1"/>
  <c r="A778" i="1"/>
  <c r="C778" i="1"/>
  <c r="A779" i="1"/>
  <c r="C779" i="1"/>
  <c r="A780" i="1"/>
  <c r="C780" i="1"/>
  <c r="A781" i="1"/>
  <c r="C781" i="1"/>
  <c r="A782" i="1"/>
  <c r="C782" i="1"/>
  <c r="A783" i="1"/>
  <c r="C783" i="1"/>
  <c r="A784" i="1"/>
  <c r="C784" i="1"/>
  <c r="A785" i="1"/>
  <c r="C785" i="1"/>
  <c r="A786" i="1"/>
  <c r="C786" i="1"/>
  <c r="A787" i="1"/>
  <c r="C787" i="1"/>
  <c r="A788" i="1"/>
  <c r="C788" i="1"/>
  <c r="A789" i="1"/>
  <c r="C789" i="1"/>
  <c r="A790" i="1"/>
  <c r="C790" i="1"/>
  <c r="A791" i="1"/>
  <c r="C791" i="1"/>
  <c r="A792" i="1"/>
  <c r="C792" i="1"/>
  <c r="A793" i="1"/>
  <c r="C793" i="1"/>
  <c r="A794" i="1"/>
  <c r="C794" i="1"/>
  <c r="A795" i="1"/>
  <c r="C795" i="1"/>
  <c r="A796" i="1"/>
  <c r="C796" i="1"/>
  <c r="A797" i="1"/>
  <c r="C797" i="1"/>
  <c r="A798" i="1"/>
  <c r="C798" i="1"/>
  <c r="A799" i="1"/>
  <c r="C799" i="1"/>
  <c r="A800" i="1"/>
  <c r="C800" i="1"/>
  <c r="A801" i="1"/>
  <c r="C801" i="1"/>
  <c r="A802" i="1"/>
  <c r="C802" i="1"/>
  <c r="A803" i="1"/>
  <c r="C803" i="1"/>
  <c r="A804" i="1"/>
  <c r="C804" i="1"/>
  <c r="A805" i="1"/>
  <c r="C805" i="1"/>
  <c r="A806" i="1"/>
  <c r="C806" i="1"/>
  <c r="A807" i="1"/>
  <c r="C807" i="1"/>
  <c r="A808" i="1"/>
  <c r="C808" i="1"/>
  <c r="A809" i="1"/>
  <c r="C809" i="1"/>
  <c r="A810" i="1"/>
  <c r="C810" i="1"/>
  <c r="A811" i="1"/>
  <c r="C811" i="1"/>
  <c r="A812" i="1"/>
  <c r="C812" i="1"/>
  <c r="A813" i="1"/>
  <c r="C813" i="1"/>
  <c r="A814" i="1"/>
  <c r="C814" i="1"/>
  <c r="A815" i="1"/>
  <c r="C815" i="1"/>
  <c r="A816" i="1"/>
  <c r="C816" i="1"/>
  <c r="A817" i="1"/>
  <c r="C817" i="1"/>
  <c r="A818" i="1"/>
  <c r="C818" i="1"/>
  <c r="A819" i="1"/>
  <c r="C819" i="1"/>
  <c r="A820" i="1"/>
  <c r="C820" i="1"/>
  <c r="A821" i="1"/>
  <c r="C821" i="1"/>
  <c r="A822" i="1"/>
  <c r="C822" i="1"/>
  <c r="A823" i="1"/>
  <c r="C823" i="1"/>
  <c r="A824" i="1"/>
  <c r="C824" i="1"/>
  <c r="A825" i="1"/>
  <c r="C825" i="1"/>
  <c r="A826" i="1"/>
  <c r="C826" i="1"/>
  <c r="A827" i="1"/>
  <c r="C827" i="1"/>
  <c r="A828" i="1"/>
  <c r="C828" i="1"/>
  <c r="A829" i="1"/>
  <c r="C829" i="1"/>
  <c r="A830" i="1"/>
  <c r="C830" i="1"/>
  <c r="A831" i="1"/>
  <c r="C831" i="1"/>
  <c r="A832" i="1"/>
  <c r="C832" i="1"/>
  <c r="A833" i="1"/>
  <c r="C833" i="1"/>
  <c r="A834" i="1"/>
  <c r="C834" i="1"/>
  <c r="A835" i="1"/>
  <c r="C835" i="1"/>
  <c r="A836" i="1"/>
  <c r="C836" i="1"/>
  <c r="A837" i="1"/>
  <c r="C837" i="1"/>
  <c r="A838" i="1"/>
  <c r="C838" i="1"/>
  <c r="A839" i="1"/>
  <c r="C839" i="1"/>
  <c r="A840" i="1"/>
  <c r="C840" i="1"/>
  <c r="A841" i="1"/>
  <c r="C841" i="1"/>
  <c r="A842" i="1"/>
  <c r="C842" i="1"/>
  <c r="A843" i="1"/>
  <c r="C843" i="1"/>
  <c r="A844" i="1"/>
  <c r="C844" i="1"/>
  <c r="A845" i="1"/>
  <c r="C845" i="1"/>
  <c r="A846" i="1"/>
  <c r="C846" i="1"/>
  <c r="A847" i="1"/>
  <c r="C847" i="1"/>
  <c r="A848" i="1"/>
  <c r="C848" i="1"/>
  <c r="A849" i="1"/>
  <c r="C849" i="1"/>
  <c r="A850" i="1"/>
  <c r="C850" i="1"/>
  <c r="A851" i="1"/>
  <c r="C851" i="1"/>
  <c r="A852" i="1"/>
  <c r="C852" i="1"/>
  <c r="A853" i="1"/>
  <c r="C853" i="1"/>
  <c r="A854" i="1"/>
  <c r="C854" i="1"/>
  <c r="A855" i="1"/>
  <c r="C855" i="1"/>
  <c r="A856" i="1"/>
  <c r="C856" i="1"/>
  <c r="A857" i="1"/>
  <c r="C857" i="1"/>
  <c r="A858" i="1"/>
  <c r="C858" i="1"/>
  <c r="A859" i="1"/>
  <c r="C859" i="1"/>
  <c r="A860" i="1"/>
  <c r="C860" i="1"/>
  <c r="A861" i="1"/>
  <c r="C861" i="1"/>
  <c r="A862" i="1"/>
  <c r="C862" i="1"/>
  <c r="A863" i="1"/>
  <c r="C863" i="1"/>
  <c r="A864" i="1"/>
  <c r="C864" i="1"/>
  <c r="A865" i="1"/>
  <c r="C865" i="1"/>
  <c r="A866" i="1"/>
  <c r="C866" i="1"/>
  <c r="A867" i="1"/>
  <c r="C867" i="1"/>
  <c r="A868" i="1"/>
  <c r="C868" i="1"/>
  <c r="A869" i="1"/>
  <c r="C869" i="1"/>
  <c r="A870" i="1"/>
  <c r="C870" i="1"/>
  <c r="A871" i="1"/>
  <c r="C871" i="1"/>
  <c r="A872" i="1"/>
  <c r="C872" i="1"/>
  <c r="A873" i="1"/>
  <c r="C873" i="1"/>
  <c r="A874" i="1"/>
  <c r="C874" i="1"/>
  <c r="A875" i="1"/>
  <c r="C875" i="1"/>
  <c r="A876" i="1"/>
  <c r="C876" i="1"/>
  <c r="A877" i="1"/>
  <c r="C877" i="1"/>
  <c r="A878" i="1"/>
  <c r="C878" i="1"/>
  <c r="A879" i="1"/>
  <c r="C879" i="1"/>
  <c r="A880" i="1"/>
  <c r="C880" i="1"/>
  <c r="A881" i="1"/>
  <c r="C881" i="1"/>
  <c r="A882" i="1"/>
  <c r="C882" i="1"/>
  <c r="A883" i="1"/>
  <c r="C883" i="1"/>
  <c r="A884" i="1"/>
  <c r="C884" i="1"/>
  <c r="A885" i="1"/>
  <c r="C885" i="1"/>
  <c r="A886" i="1"/>
  <c r="C886" i="1"/>
  <c r="A887" i="1"/>
  <c r="C887" i="1"/>
  <c r="A888" i="1"/>
  <c r="C888" i="1"/>
  <c r="A889" i="1"/>
  <c r="C889" i="1"/>
  <c r="A890" i="1"/>
  <c r="C890" i="1"/>
  <c r="A891" i="1"/>
  <c r="C891" i="1"/>
  <c r="A892" i="1"/>
  <c r="C892" i="1"/>
  <c r="A893" i="1"/>
  <c r="C893" i="1"/>
  <c r="A898" i="1"/>
  <c r="C898" i="1"/>
  <c r="A899" i="1"/>
  <c r="C899" i="1"/>
  <c r="A900" i="1"/>
  <c r="C900" i="1"/>
  <c r="A901" i="1"/>
  <c r="C901" i="1"/>
  <c r="A902" i="1"/>
  <c r="C902" i="1"/>
  <c r="A903" i="1"/>
  <c r="C903" i="1"/>
  <c r="A904" i="1"/>
  <c r="C904" i="1"/>
  <c r="A905" i="1"/>
  <c r="C905" i="1"/>
  <c r="A906" i="1"/>
  <c r="C906" i="1"/>
  <c r="A907" i="1"/>
  <c r="C907" i="1"/>
  <c r="A908" i="1"/>
  <c r="C908" i="1"/>
  <c r="A909" i="1"/>
  <c r="C909" i="1"/>
  <c r="A910" i="1"/>
  <c r="C910" i="1"/>
  <c r="A911" i="1"/>
  <c r="C911" i="1"/>
  <c r="A912" i="1"/>
  <c r="C912" i="1"/>
  <c r="A913" i="1"/>
  <c r="C913" i="1"/>
  <c r="A914" i="1"/>
  <c r="C914" i="1"/>
  <c r="A915" i="1"/>
  <c r="C915" i="1"/>
  <c r="A916" i="1"/>
  <c r="C916" i="1"/>
  <c r="A917" i="1"/>
  <c r="A919" i="1"/>
  <c r="C919" i="1"/>
  <c r="A920" i="1"/>
  <c r="C920" i="1"/>
  <c r="A921" i="1"/>
  <c r="C921" i="1"/>
  <c r="A922" i="1"/>
  <c r="C922" i="1"/>
  <c r="A923" i="1"/>
  <c r="C923" i="1"/>
  <c r="A924" i="1"/>
  <c r="C924" i="1"/>
  <c r="A925" i="1"/>
  <c r="C925" i="1"/>
  <c r="A926" i="1"/>
  <c r="C926" i="1"/>
  <c r="A927" i="1"/>
  <c r="C927" i="1"/>
  <c r="A928" i="1"/>
  <c r="C928" i="1"/>
  <c r="A929" i="1"/>
  <c r="C929" i="1"/>
  <c r="A930" i="1"/>
  <c r="C930" i="1"/>
  <c r="A931" i="1"/>
  <c r="C931" i="1"/>
  <c r="A932" i="1"/>
  <c r="C932" i="1"/>
  <c r="A933" i="1"/>
  <c r="C933" i="1"/>
  <c r="A934" i="1"/>
  <c r="C934" i="1"/>
  <c r="A935" i="1"/>
  <c r="C935" i="1"/>
  <c r="A936" i="1"/>
  <c r="C936" i="1"/>
  <c r="A937" i="1"/>
  <c r="C937" i="1"/>
  <c r="A938" i="1"/>
  <c r="C938" i="1"/>
  <c r="A939" i="1"/>
  <c r="C939" i="1"/>
  <c r="A940" i="1"/>
  <c r="C940" i="1"/>
  <c r="A941" i="1"/>
  <c r="C941" i="1"/>
  <c r="A942" i="1"/>
  <c r="C942" i="1"/>
  <c r="A943" i="1"/>
  <c r="C943" i="1"/>
  <c r="A944" i="1"/>
  <c r="C944" i="1"/>
  <c r="A945" i="1"/>
  <c r="C945" i="1"/>
  <c r="A946" i="1"/>
  <c r="C946" i="1"/>
  <c r="A947" i="1"/>
  <c r="C947" i="1"/>
  <c r="A948" i="1"/>
  <c r="C948" i="1"/>
  <c r="A949" i="1"/>
  <c r="C949" i="1"/>
  <c r="A950" i="1"/>
  <c r="C950" i="1"/>
  <c r="A951" i="1"/>
  <c r="C951" i="1"/>
  <c r="A952" i="1"/>
  <c r="C952" i="1"/>
  <c r="A953" i="1"/>
  <c r="C953" i="1"/>
  <c r="A954" i="1"/>
  <c r="C954" i="1"/>
  <c r="A955" i="1"/>
  <c r="C955" i="1"/>
  <c r="A956" i="1"/>
  <c r="C956" i="1"/>
  <c r="A957" i="1"/>
  <c r="C957" i="1"/>
  <c r="A958" i="1"/>
  <c r="C958" i="1"/>
  <c r="A959" i="1"/>
  <c r="C959" i="1"/>
  <c r="A960" i="1"/>
  <c r="C960" i="1"/>
  <c r="A961" i="1"/>
  <c r="C961" i="1"/>
  <c r="A962" i="1"/>
  <c r="C962" i="1"/>
  <c r="A963" i="1"/>
  <c r="C963" i="1"/>
  <c r="A964" i="1"/>
  <c r="C964" i="1"/>
  <c r="A965" i="1"/>
  <c r="C965" i="1"/>
  <c r="A966" i="1"/>
  <c r="C966" i="1"/>
  <c r="A967" i="1"/>
  <c r="C967" i="1"/>
</calcChain>
</file>

<file path=xl/sharedStrings.xml><?xml version="1.0" encoding="utf-8"?>
<sst xmlns="http://schemas.openxmlformats.org/spreadsheetml/2006/main" count="2113" uniqueCount="898">
  <si>
    <t>테마코드</t>
  </si>
  <si>
    <t>테마명</t>
  </si>
  <si>
    <t>종목코드</t>
  </si>
  <si>
    <t>종목명</t>
  </si>
  <si>
    <t>시가총액</t>
  </si>
  <si>
    <t>rank</t>
  </si>
  <si>
    <t>preRank</t>
  </si>
  <si>
    <t>기업 정보</t>
  </si>
  <si>
    <t>기업구분</t>
  </si>
  <si>
    <t>은행</t>
  </si>
  <si>
    <t>제주은행</t>
  </si>
  <si>
    <t>제주 지역 은행으로 대출, 카드, 신탁 등 광범위한 금융 업무를 사업으로 영위</t>
  </si>
  <si>
    <t>코스피</t>
  </si>
  <si>
    <t>신한지주</t>
  </si>
  <si>
    <t>신한금융 계열사에 대한 자금 지원을 사업 목적으로 하는 금융지주회사
주요 사업 부문은 은행업, 금융투자업, 생명보험업, 자산운용업 등</t>
  </si>
  <si>
    <t>하나금융지주</t>
  </si>
  <si>
    <t>하나금융그룹의 경영전략 수립과 종속기업에 대한 경영관리 및 자금지원 등을 주력 사업으로 영위하는 금융지주회사</t>
  </si>
  <si>
    <t>KB금융</t>
  </si>
  <si>
    <t>KB금융그룹의 지주회사로서 은행, 카드, 증권, 보험 등 다양한 사업을 영위. 
업계 1위인 KB국민은행을 포함한 13개 자회사 보유</t>
  </si>
  <si>
    <t>기업은행</t>
  </si>
  <si>
    <t>중소기업대출 특화 전문은행</t>
  </si>
  <si>
    <t>DGB금융지주</t>
  </si>
  <si>
    <t>대구은행, DGB생명보험, DGB캐피탈 등을 사업으로 영위하는 DGB금융그룹의 지주회사</t>
  </si>
  <si>
    <t>BNK금융지주</t>
  </si>
  <si>
    <t>부산은행, BNK투자증권, BNK자산운용, 여신전문, 저축은행업, BNK벤처투자를 포괄하는 종합금융그룹</t>
  </si>
  <si>
    <t>보험_생명보험</t>
  </si>
  <si>
    <t>한화생명</t>
  </si>
  <si>
    <t>국내 최초 생명보험회사로 높은 브랜드 인지도 보유</t>
  </si>
  <si>
    <t>동양생명</t>
  </si>
  <si>
    <t>생명보험, 인보험을 주력으로 하는 다자보험그룹의 계열사</t>
  </si>
  <si>
    <t>삼성생명</t>
  </si>
  <si>
    <t>삼성그룹 계열의 생명보험사로 압도적인 브랜드 파워와 안정적인 영업 기반을 바탕으로 업계 최상위 지위 유지</t>
  </si>
  <si>
    <t>반도체_생산</t>
  </si>
  <si>
    <t>삼성전자</t>
  </si>
  <si>
    <t>SK하이닉스</t>
  </si>
  <si>
    <t>DB하이텍</t>
  </si>
  <si>
    <t>거푸집</t>
  </si>
  <si>
    <t>금강공업</t>
  </si>
  <si>
    <t>삼목에스폼</t>
  </si>
  <si>
    <t>SNS(Social Network Service)</t>
  </si>
  <si>
    <t>카카오</t>
  </si>
  <si>
    <t>NAVER</t>
  </si>
  <si>
    <t>위메이드</t>
  </si>
  <si>
    <t>창투</t>
  </si>
  <si>
    <t>다올투자증권</t>
  </si>
  <si>
    <t>한국금융지주</t>
  </si>
  <si>
    <t>SBI인베스트먼트</t>
  </si>
  <si>
    <t>에이티넘인베스트</t>
  </si>
  <si>
    <t>스틱인베스트먼트</t>
  </si>
  <si>
    <t>건설_국내주택</t>
  </si>
  <si>
    <t>HDC</t>
  </si>
  <si>
    <t>계룡건설</t>
  </si>
  <si>
    <t>HL D&amp;I</t>
  </si>
  <si>
    <t>대우건설</t>
  </si>
  <si>
    <t>도로 관련 토목사업과 푸르지오 브랜드를 바탕으로 아파트를 건설하는 주택건축사업, 발전소를 건설하는 플랜트사업을 영위함
2023년 1월 보도자료를 통해 주택사업보다 해외수주 비중을 늘리겠다고 발표함</t>
  </si>
  <si>
    <t>게임_모바일</t>
  </si>
  <si>
    <t>아프리카TV</t>
  </si>
  <si>
    <t>컴투스홀딩스</t>
  </si>
  <si>
    <t>컴투스</t>
  </si>
  <si>
    <t>네오위즈</t>
  </si>
  <si>
    <t>조이시티</t>
  </si>
  <si>
    <t>반도체_전공정장비</t>
  </si>
  <si>
    <t>DMS</t>
  </si>
  <si>
    <t>테스</t>
  </si>
  <si>
    <t>주성엔지니어링</t>
  </si>
  <si>
    <t>원익홀딩스</t>
  </si>
  <si>
    <t>케이씨</t>
  </si>
  <si>
    <t>유진테크</t>
  </si>
  <si>
    <t>피에스케이홀딩스</t>
  </si>
  <si>
    <t>전자결제</t>
  </si>
  <si>
    <t>한컴위드</t>
  </si>
  <si>
    <t>NHN한국사이버결제</t>
  </si>
  <si>
    <t>바이오스마트</t>
  </si>
  <si>
    <t>한국정보통신</t>
  </si>
  <si>
    <t>코나아이</t>
  </si>
  <si>
    <t>다날</t>
  </si>
  <si>
    <t>KG이니시스</t>
  </si>
  <si>
    <t>KG모빌리언스</t>
  </si>
  <si>
    <t>인포바인</t>
  </si>
  <si>
    <t>유비벨록스</t>
  </si>
  <si>
    <t>SK</t>
  </si>
  <si>
    <t>나이스정보통신</t>
  </si>
  <si>
    <t>SBI핀테크솔루션즈</t>
  </si>
  <si>
    <t>증권</t>
  </si>
  <si>
    <t>한화투자증권</t>
  </si>
  <si>
    <t>미래에셋증권</t>
  </si>
  <si>
    <t>유진투자증권</t>
  </si>
  <si>
    <t>삼성증권</t>
  </si>
  <si>
    <t>유안타증권</t>
  </si>
  <si>
    <t>SK증권</t>
  </si>
  <si>
    <t>대신증권</t>
  </si>
  <si>
    <t>키움증권</t>
  </si>
  <si>
    <t>한양증권</t>
  </si>
  <si>
    <t>교보증권</t>
  </si>
  <si>
    <t>NH투자증권</t>
  </si>
  <si>
    <t>현대차증권</t>
  </si>
  <si>
    <t>이베스트투자증권</t>
  </si>
  <si>
    <t>DB금융투자</t>
  </si>
  <si>
    <t>유화증권</t>
  </si>
  <si>
    <t>신영증권</t>
  </si>
  <si>
    <t>부국증권</t>
  </si>
  <si>
    <t>메리츠증권</t>
  </si>
  <si>
    <t>가구</t>
  </si>
  <si>
    <t>현대리바트</t>
  </si>
  <si>
    <t>한샘</t>
  </si>
  <si>
    <t>퍼시스</t>
  </si>
  <si>
    <t>전기자전거</t>
  </si>
  <si>
    <t>삼천리자전거</t>
  </si>
  <si>
    <t>알톤스포츠</t>
  </si>
  <si>
    <t>금형/몰드베이스</t>
  </si>
  <si>
    <t>에이테크솔루션</t>
  </si>
  <si>
    <t>우진플라임</t>
  </si>
  <si>
    <t>KD</t>
  </si>
  <si>
    <t>기신정기</t>
  </si>
  <si>
    <t>휴대폰_수동부품</t>
  </si>
  <si>
    <t>성호전자</t>
  </si>
  <si>
    <t>성문전자</t>
  </si>
  <si>
    <t>뉴인텍</t>
  </si>
  <si>
    <t>삼화콘덴서</t>
  </si>
  <si>
    <t>파트론</t>
  </si>
  <si>
    <t>코웰패션</t>
  </si>
  <si>
    <t>삼화전기</t>
  </si>
  <si>
    <t>삼영전자</t>
  </si>
  <si>
    <t>아모텍</t>
  </si>
  <si>
    <t>반도체_후공정소재</t>
  </si>
  <si>
    <t>덕산하이메탈</t>
  </si>
  <si>
    <t>마이크로컨텍솔</t>
  </si>
  <si>
    <t>대덕</t>
  </si>
  <si>
    <t>엠케이전자</t>
  </si>
  <si>
    <t>심텍홀딩스</t>
  </si>
  <si>
    <t>코리아써키트</t>
  </si>
  <si>
    <t>제지_기타</t>
  </si>
  <si>
    <t>페이퍼코리아</t>
  </si>
  <si>
    <t>한솔홀딩스</t>
  </si>
  <si>
    <t>신풍</t>
  </si>
  <si>
    <t>무림페이퍼</t>
  </si>
  <si>
    <t>깨끗한나라</t>
  </si>
  <si>
    <t>국일제지</t>
  </si>
  <si>
    <t>건설_해외건설</t>
  </si>
  <si>
    <t>GS건설</t>
  </si>
  <si>
    <t>삼성엔지니어링</t>
  </si>
  <si>
    <t>DL</t>
  </si>
  <si>
    <t>현대건설</t>
  </si>
  <si>
    <t>반도체_전공정소재</t>
  </si>
  <si>
    <t>솔브레인홀딩스</t>
  </si>
  <si>
    <t>원익머트리얼즈</t>
  </si>
  <si>
    <t>이엔에프테크놀로지</t>
  </si>
  <si>
    <t>동진쎄미켐</t>
  </si>
  <si>
    <t>디엔에프</t>
  </si>
  <si>
    <t>원익QnC</t>
  </si>
  <si>
    <t>전자결제_B2B</t>
  </si>
  <si>
    <t>이상네트웍스</t>
  </si>
  <si>
    <t>아이마켓코리아</t>
  </si>
  <si>
    <t>이크레더블</t>
  </si>
  <si>
    <t>반도체_시스템반도체</t>
  </si>
  <si>
    <t>고영</t>
  </si>
  <si>
    <t>아이에이</t>
  </si>
  <si>
    <t>SFA반도체</t>
  </si>
  <si>
    <t>하나마이크론</t>
  </si>
  <si>
    <t>시그네틱스</t>
  </si>
  <si>
    <t>티엘아이</t>
  </si>
  <si>
    <t>네패스</t>
  </si>
  <si>
    <t>LX세미콘</t>
  </si>
  <si>
    <t>백화점</t>
  </si>
  <si>
    <t>신세계</t>
  </si>
  <si>
    <t>광주신세계</t>
  </si>
  <si>
    <t>현대백화점</t>
  </si>
  <si>
    <t>대구백화점</t>
  </si>
  <si>
    <t>롯데쇼핑</t>
  </si>
  <si>
    <t>U-헬스케어</t>
  </si>
  <si>
    <t>비트컴퓨터</t>
  </si>
  <si>
    <t>유비케어</t>
  </si>
  <si>
    <t>인피니트헬스케어</t>
  </si>
  <si>
    <t>씨유메디칼</t>
  </si>
  <si>
    <t>제이브이엠</t>
  </si>
  <si>
    <t>LCD_소재</t>
  </si>
  <si>
    <t>자동차_블랙박스관련주</t>
  </si>
  <si>
    <t>대성엘텍</t>
  </si>
  <si>
    <t>팅크웨어</t>
  </si>
  <si>
    <t>파인디지털</t>
  </si>
  <si>
    <t>보험_손해보험</t>
  </si>
  <si>
    <t>한화손해보험</t>
  </si>
  <si>
    <t>코리안리</t>
  </si>
  <si>
    <t>현대해상</t>
  </si>
  <si>
    <t>롯데손해보험</t>
  </si>
  <si>
    <t>삼성화재</t>
  </si>
  <si>
    <t>DB손해보험</t>
  </si>
  <si>
    <t>흥국화재</t>
  </si>
  <si>
    <t>메리츠화재</t>
  </si>
  <si>
    <t>바이오_줄기세포치료제</t>
  </si>
  <si>
    <t>차바이오텍</t>
  </si>
  <si>
    <t>메디포스트</t>
  </si>
  <si>
    <t>파미셀</t>
  </si>
  <si>
    <t>화력_발전기자재</t>
  </si>
  <si>
    <t>SNT에너지</t>
  </si>
  <si>
    <t>비에이치아이</t>
  </si>
  <si>
    <t>큐로</t>
  </si>
  <si>
    <t>태블릿 PC</t>
  </si>
  <si>
    <t>에스맥</t>
  </si>
  <si>
    <t>일진디스플</t>
  </si>
  <si>
    <t>이라이콤</t>
  </si>
  <si>
    <t>코아시아</t>
  </si>
  <si>
    <t>인터플렉스</t>
  </si>
  <si>
    <t>KH바텍</t>
  </si>
  <si>
    <t>미디어_방송광고</t>
  </si>
  <si>
    <t>YTN</t>
  </si>
  <si>
    <t>콘텐트리중앙</t>
  </si>
  <si>
    <t>iMBC</t>
  </si>
  <si>
    <t>제일기획</t>
  </si>
  <si>
    <t>SBS콘텐츠허브</t>
  </si>
  <si>
    <t>KNN</t>
  </si>
  <si>
    <t>티비씨</t>
  </si>
  <si>
    <t>SBS</t>
  </si>
  <si>
    <t>무선충전기관련주</t>
  </si>
  <si>
    <t>이랜텍</t>
  </si>
  <si>
    <t>한솔테크닉스</t>
  </si>
  <si>
    <t>알에프텍</t>
  </si>
  <si>
    <t>켐트로닉스</t>
  </si>
  <si>
    <t>크로바하이텍</t>
  </si>
  <si>
    <t>코스닥_라이징스타</t>
  </si>
  <si>
    <t>해성옵틱스</t>
  </si>
  <si>
    <t>알에프세미</t>
  </si>
  <si>
    <t>솔루에타</t>
  </si>
  <si>
    <t>씨젠</t>
  </si>
  <si>
    <t>폴라리스우노</t>
  </si>
  <si>
    <t>상보</t>
  </si>
  <si>
    <t>빅솔론</t>
  </si>
  <si>
    <t>동일금속</t>
  </si>
  <si>
    <t>슈프리마에이치큐</t>
  </si>
  <si>
    <t>마크로젠</t>
  </si>
  <si>
    <t>뷰웍스</t>
  </si>
  <si>
    <t>테크윙</t>
  </si>
  <si>
    <t>엘엠에스</t>
  </si>
  <si>
    <t>성광벤드</t>
  </si>
  <si>
    <t>이오테크닉스</t>
  </si>
  <si>
    <t>인바디</t>
  </si>
  <si>
    <t>기가레인</t>
  </si>
  <si>
    <t>이녹스</t>
  </si>
  <si>
    <t>하이비젼시스템</t>
  </si>
  <si>
    <t>모다이노칩</t>
  </si>
  <si>
    <t>ISC</t>
  </si>
  <si>
    <t>화장품</t>
  </si>
  <si>
    <t>코리아나</t>
  </si>
  <si>
    <t>아모레퍼시픽</t>
  </si>
  <si>
    <t>LG생활건강</t>
  </si>
  <si>
    <t>코웨이</t>
  </si>
  <si>
    <t>제닉</t>
  </si>
  <si>
    <t>코스맥스비티아이</t>
  </si>
  <si>
    <t>에이블씨엔씨</t>
  </si>
  <si>
    <t>한국화장품</t>
  </si>
  <si>
    <t>한국콜마</t>
  </si>
  <si>
    <t>한국화장품제조</t>
  </si>
  <si>
    <t>Cheap-Chic_저가실용품</t>
  </si>
  <si>
    <t>아모레G</t>
  </si>
  <si>
    <t>제이에스티나</t>
  </si>
  <si>
    <t>폐기물처리</t>
  </si>
  <si>
    <t>인선이엔티</t>
  </si>
  <si>
    <t>혜인</t>
  </si>
  <si>
    <t>서한</t>
  </si>
  <si>
    <t>서희건설</t>
  </si>
  <si>
    <t>KC그린홀딩스</t>
  </si>
  <si>
    <t>엑사이엔씨</t>
  </si>
  <si>
    <t>코엔텍</t>
  </si>
  <si>
    <t>와이엔텍</t>
  </si>
  <si>
    <t>기계_건설기계</t>
  </si>
  <si>
    <t>수산중공업</t>
  </si>
  <si>
    <t>흥국</t>
  </si>
  <si>
    <t>현대에버다임</t>
  </si>
  <si>
    <t>디아이씨</t>
  </si>
  <si>
    <t>디와이</t>
  </si>
  <si>
    <t>한국조선해양</t>
  </si>
  <si>
    <t>우림피티에스</t>
  </si>
  <si>
    <t>두산</t>
  </si>
  <si>
    <t>현대두산인프라코어</t>
  </si>
  <si>
    <t>대창단조</t>
  </si>
  <si>
    <t>진성티이씨</t>
  </si>
  <si>
    <t>반도체_후공정</t>
  </si>
  <si>
    <t>엘비세미콘</t>
  </si>
  <si>
    <t>에이티세미콘</t>
  </si>
  <si>
    <t>태양광_부품/소재/장비</t>
  </si>
  <si>
    <t>SKC</t>
  </si>
  <si>
    <t>티씨케이</t>
  </si>
  <si>
    <t>일진파워</t>
  </si>
  <si>
    <t>대주전자재료</t>
  </si>
  <si>
    <t>모바일솔루션</t>
  </si>
  <si>
    <t>케이씨티</t>
  </si>
  <si>
    <t>플랜티넷</t>
  </si>
  <si>
    <t>엔텔스</t>
  </si>
  <si>
    <t>폴라리스오피스</t>
  </si>
  <si>
    <t>인포뱅크</t>
  </si>
  <si>
    <t>갤럭시아머니트리</t>
  </si>
  <si>
    <t>젬백스링크</t>
  </si>
  <si>
    <t>텔코웨어</t>
  </si>
  <si>
    <t>한글과컴퓨터</t>
  </si>
  <si>
    <t>유엔젤</t>
  </si>
  <si>
    <t>키네마스터</t>
  </si>
  <si>
    <t>셀바스AI</t>
  </si>
  <si>
    <t>지어소프트</t>
  </si>
  <si>
    <t>HLB테라퓨틱스</t>
  </si>
  <si>
    <t>강관</t>
  </si>
  <si>
    <t>코센</t>
  </si>
  <si>
    <t>동양철관</t>
  </si>
  <si>
    <t>하이스틸</t>
  </si>
  <si>
    <t>휴스틸</t>
  </si>
  <si>
    <t>세아제강지주</t>
  </si>
  <si>
    <t>제지_골판지</t>
  </si>
  <si>
    <t>태림포장</t>
  </si>
  <si>
    <t>아세아제지</t>
  </si>
  <si>
    <t>한국수출포장</t>
  </si>
  <si>
    <t>신대양제지</t>
  </si>
  <si>
    <t>코스닥_히든챔피언</t>
  </si>
  <si>
    <t>아이엠</t>
  </si>
  <si>
    <t>코텍</t>
  </si>
  <si>
    <t>메디톡스</t>
  </si>
  <si>
    <t>엔시트론</t>
  </si>
  <si>
    <t>앤씨앤</t>
  </si>
  <si>
    <t>크루셜텍</t>
  </si>
  <si>
    <t>미래나노텍</t>
  </si>
  <si>
    <t>로봇_지능형</t>
  </si>
  <si>
    <t>로보스타</t>
  </si>
  <si>
    <t>레인보우로보틱스</t>
  </si>
  <si>
    <t>국내 최초 이족보행 로봇 '휴보'를 개발한 카이스트 연구팀이 세운 기업
로봇 핵심 기술을 기반으로 인간형 이족보행 로봇 플랫폼, 협동로봇을 제작
유상증자로 삼성전자를 2대 주주로 영입 (23.01.03.)</t>
  </si>
  <si>
    <t>코스닥</t>
  </si>
  <si>
    <t>유진로봇</t>
  </si>
  <si>
    <t>이엠코리아</t>
  </si>
  <si>
    <t>휴림로봇</t>
  </si>
  <si>
    <t>삼익THK</t>
  </si>
  <si>
    <t>미래컴퍼니</t>
  </si>
  <si>
    <t>스맥</t>
  </si>
  <si>
    <t>퍼스텍</t>
  </si>
  <si>
    <t>미디어_디지털방송전환</t>
  </si>
  <si>
    <t>KX</t>
  </si>
  <si>
    <t>LG유플러스</t>
  </si>
  <si>
    <t>현대퓨처넷</t>
  </si>
  <si>
    <t>KT</t>
  </si>
  <si>
    <t>스카이라이프</t>
  </si>
  <si>
    <t>태광산업</t>
  </si>
  <si>
    <t>LG헬로비전</t>
  </si>
  <si>
    <t>AMOLED_소재</t>
  </si>
  <si>
    <t>나노신소재</t>
  </si>
  <si>
    <t>스킨앤스킨</t>
  </si>
  <si>
    <t>기계_공작기계</t>
  </si>
  <si>
    <t>화천기계</t>
  </si>
  <si>
    <t>일진다이아</t>
  </si>
  <si>
    <t>와이지-원</t>
  </si>
  <si>
    <t>에이치케이</t>
  </si>
  <si>
    <t>한국정밀기계</t>
  </si>
  <si>
    <t>화천기공</t>
  </si>
  <si>
    <t>넥스턴바이오</t>
  </si>
  <si>
    <t>현대위아</t>
  </si>
  <si>
    <t>SIMPAC</t>
  </si>
  <si>
    <t>셋톱박스</t>
  </si>
  <si>
    <t>홈캐스트</t>
  </si>
  <si>
    <t>휴맥스</t>
  </si>
  <si>
    <t>피에이치씨</t>
  </si>
  <si>
    <t>아리온</t>
  </si>
  <si>
    <t>가온미디어</t>
  </si>
  <si>
    <t>LED</t>
  </si>
  <si>
    <t>금호전기</t>
  </si>
  <si>
    <t>우리바이오</t>
  </si>
  <si>
    <t>루멘스</t>
  </si>
  <si>
    <t>우리이앤엘</t>
  </si>
  <si>
    <t>서울반도체</t>
  </si>
  <si>
    <t>LG이노텍</t>
  </si>
  <si>
    <t>비보존 제약</t>
  </si>
  <si>
    <t>에니메이션</t>
  </si>
  <si>
    <t>대원미디어</t>
  </si>
  <si>
    <t>대표 콘텐츠 '달려라 하니', '영심이', '무직타이거' 를 제작한 기업으로 만화 및 애니메이션 콘텐츠와 관련된 종합 엔터테인먼트 사업 영위
'스튜디오 지브리' 등 해외 애니메이션을 국내에 수입 및 배급
자회사 대원방송은 국내에서 가장 많은 프로그램을 보유한 애니메이션 채널</t>
  </si>
  <si>
    <t>오로라</t>
  </si>
  <si>
    <t>손오공</t>
  </si>
  <si>
    <t>헬로카봇 등의 캐릭터완구와 바비 등 마텔토이와 블리자드 패키지 등 게임 제품을 할인판매 및 온·오프라인에서 유통</t>
  </si>
  <si>
    <t>LPG(액화석유가스)</t>
  </si>
  <si>
    <t>SK가스</t>
  </si>
  <si>
    <t>E1</t>
  </si>
  <si>
    <t>스마트폰_애플 관련주</t>
  </si>
  <si>
    <t>원자력_설계시공</t>
  </si>
  <si>
    <t>우진</t>
  </si>
  <si>
    <t>시멘트</t>
  </si>
  <si>
    <t>성신양회</t>
  </si>
  <si>
    <t>쌍용C&amp;E</t>
  </si>
  <si>
    <t>한일현대시멘트</t>
  </si>
  <si>
    <t>아세아</t>
  </si>
  <si>
    <t>삼표시멘트</t>
  </si>
  <si>
    <t>한일홀딩스</t>
  </si>
  <si>
    <t>교육</t>
  </si>
  <si>
    <t>골드앤에스</t>
  </si>
  <si>
    <t>시공테크</t>
  </si>
  <si>
    <t>예림당</t>
  </si>
  <si>
    <t>도서출판업 및 그 부대사업을 주요 사업으로 영위하고 있음.
청소년 및 유아동도서 출판, 전자책 제작, 애니메이션 제작, 저작권 매니지먼트, 해외콘텐츠 국내판권 매니지먼트와 종속 회사를 통해 PHC파일 제작 사업 등을 영위함.</t>
  </si>
  <si>
    <t>크레버스</t>
  </si>
  <si>
    <t>NE능률</t>
  </si>
  <si>
    <t>메가스터디</t>
  </si>
  <si>
    <t>삼성출판사</t>
  </si>
  <si>
    <t>정상제이엘에스</t>
  </si>
  <si>
    <t>YBM넷</t>
  </si>
  <si>
    <t>멀티캠퍼스</t>
  </si>
  <si>
    <t>대교</t>
  </si>
  <si>
    <t>웅진씽크빅</t>
  </si>
  <si>
    <t>아이비김영</t>
  </si>
  <si>
    <t>온라인 및 오프라인 대학 편입학 및 취업 콘텐츠 제공하는 교육 기업</t>
  </si>
  <si>
    <t>비상교육</t>
  </si>
  <si>
    <t>바이오_디젤/에탄올</t>
  </si>
  <si>
    <t>애경케미칼</t>
  </si>
  <si>
    <t>MH에탄올</t>
  </si>
  <si>
    <t>SK디스커버리</t>
  </si>
  <si>
    <t>제이씨케미칼</t>
  </si>
  <si>
    <t>바이오_유전체분석</t>
  </si>
  <si>
    <t>테라젠이텍스</t>
  </si>
  <si>
    <t>디엔에이링크</t>
  </si>
  <si>
    <t>반도체_설계(fabless)</t>
  </si>
  <si>
    <t>시너지이노베이션</t>
  </si>
  <si>
    <t>아이앤씨</t>
  </si>
  <si>
    <t>제주반도체</t>
  </si>
  <si>
    <t>아나패스</t>
  </si>
  <si>
    <t>어보브반도체</t>
  </si>
  <si>
    <t>알파홀딩스</t>
  </si>
  <si>
    <t>텔레칩스</t>
  </si>
  <si>
    <t>전자책_e-book</t>
  </si>
  <si>
    <t>그래디언트</t>
  </si>
  <si>
    <t>예스24</t>
  </si>
  <si>
    <t>드림어스컴퍼니</t>
  </si>
  <si>
    <t>자동차_차량용 반도체</t>
  </si>
  <si>
    <t>현대모비스</t>
  </si>
  <si>
    <t>HL홀딩스</t>
  </si>
  <si>
    <t>엔지니어링 플라스틱</t>
  </si>
  <si>
    <t>코오롱플라스틱</t>
  </si>
  <si>
    <t>코프라</t>
  </si>
  <si>
    <t>HDC현대EP</t>
  </si>
  <si>
    <t>휴대폰_베트남현지법인</t>
  </si>
  <si>
    <t>자화전자</t>
  </si>
  <si>
    <t>서원인텍</t>
  </si>
  <si>
    <t>모베이스</t>
  </si>
  <si>
    <t>제넨바이오</t>
  </si>
  <si>
    <t>인탑스</t>
  </si>
  <si>
    <t>클라우드 컴퓨팅</t>
  </si>
  <si>
    <t>더존비즈온</t>
  </si>
  <si>
    <t>엑셈</t>
  </si>
  <si>
    <t>다우기술</t>
  </si>
  <si>
    <t>SK텔레콤</t>
  </si>
  <si>
    <t>인지소프트</t>
  </si>
  <si>
    <t>케이아이엔엑스</t>
  </si>
  <si>
    <t>운송_해운</t>
  </si>
  <si>
    <t>세방</t>
  </si>
  <si>
    <t>HMM</t>
  </si>
  <si>
    <t>동방</t>
  </si>
  <si>
    <t>인터지스</t>
  </si>
  <si>
    <t>흥아해운</t>
  </si>
  <si>
    <t>대한해운</t>
  </si>
  <si>
    <t>팬오션</t>
  </si>
  <si>
    <t>스마트폰_삼성전자관련주</t>
  </si>
  <si>
    <t>이엠텍</t>
  </si>
  <si>
    <t>삼성전기</t>
  </si>
  <si>
    <t>캠시스</t>
  </si>
  <si>
    <t>휴대폰용 카메라모듈, 생체정보인식 및 정보보안기술응용제품, 전기자동차 및 관련 핵심부품에 대한 사업 영위/2022년 흑자전환
2024년부터 5년간 복권사업을 운영할 5기 수탁사업자 우선협상 대상자로 선정됨</t>
  </si>
  <si>
    <t>와이솔</t>
  </si>
  <si>
    <t>멜파스</t>
  </si>
  <si>
    <t>파워로직스</t>
  </si>
  <si>
    <t>비에이치</t>
  </si>
  <si>
    <t>바이오_진단/백신</t>
  </si>
  <si>
    <t>엑세스바이오</t>
  </si>
  <si>
    <t>현대바이오랜드</t>
  </si>
  <si>
    <t>신흥</t>
  </si>
  <si>
    <t>아이센스</t>
  </si>
  <si>
    <t>바이오니아</t>
  </si>
  <si>
    <t>오상헬스케어</t>
  </si>
  <si>
    <t>휴대폰_카메라</t>
  </si>
  <si>
    <t>엠씨넥스</t>
  </si>
  <si>
    <t>옵트론텍</t>
  </si>
  <si>
    <t>지나인제약</t>
  </si>
  <si>
    <t>SBW생명과학</t>
  </si>
  <si>
    <t>세코닉스</t>
  </si>
  <si>
    <t>운송_항공</t>
  </si>
  <si>
    <t>아시아나항공</t>
  </si>
  <si>
    <t>에어부산</t>
  </si>
  <si>
    <t>금호 아시아나 계열사 / 저비용항공사 LCC
국내 상장 LCC 항공사 중에서 국내선 비중이 가장 높음</t>
  </si>
  <si>
    <t>티웨이항공</t>
  </si>
  <si>
    <t>대한항공</t>
  </si>
  <si>
    <t>컴퓨터전화통합(CTI)</t>
  </si>
  <si>
    <t>효성ITX</t>
  </si>
  <si>
    <t>KTis</t>
  </si>
  <si>
    <t>KTcs</t>
  </si>
  <si>
    <t>엠피씨플러스</t>
  </si>
  <si>
    <t>휴대폰_케이스/기구물</t>
  </si>
  <si>
    <t>이아이디</t>
  </si>
  <si>
    <t>재영솔루텍</t>
  </si>
  <si>
    <t>우주일렉트로</t>
  </si>
  <si>
    <t>이엠앤아이</t>
  </si>
  <si>
    <t>한국단자</t>
  </si>
  <si>
    <t>코스나인</t>
  </si>
  <si>
    <t>의복_OEM</t>
  </si>
  <si>
    <t>영원무역</t>
  </si>
  <si>
    <t>신원</t>
  </si>
  <si>
    <t>신성통상</t>
  </si>
  <si>
    <t>태평양물산</t>
  </si>
  <si>
    <t>한세실업</t>
  </si>
  <si>
    <t>식자재유통</t>
  </si>
  <si>
    <t>현대그린푸드</t>
  </si>
  <si>
    <t>신세계푸드</t>
  </si>
  <si>
    <t>대상</t>
  </si>
  <si>
    <t>CJ프레시웨이</t>
  </si>
  <si>
    <t>게임_온라인</t>
  </si>
  <si>
    <t>웹젠</t>
  </si>
  <si>
    <t>플레이위드</t>
  </si>
  <si>
    <t>아이톡시</t>
  </si>
  <si>
    <t>한빛소프트</t>
  </si>
  <si>
    <t>ES큐브</t>
  </si>
  <si>
    <t>이스트소프트</t>
  </si>
  <si>
    <t>바른손이앤에이</t>
  </si>
  <si>
    <t>위메이드맥스</t>
  </si>
  <si>
    <t>엠게임</t>
  </si>
  <si>
    <t>드래곤플라이</t>
  </si>
  <si>
    <t>엔씨소프트</t>
  </si>
  <si>
    <t>SI(시스템통합)</t>
  </si>
  <si>
    <t>쌍용정보통신</t>
  </si>
  <si>
    <t>비케이탑스</t>
  </si>
  <si>
    <t>DB</t>
  </si>
  <si>
    <t>신세계 I&amp;C</t>
  </si>
  <si>
    <t>포스코 ICT</t>
  </si>
  <si>
    <t>휴대폰_터치스크린</t>
  </si>
  <si>
    <t>시노펙스</t>
  </si>
  <si>
    <t>토비스</t>
  </si>
  <si>
    <t>제과스낵</t>
  </si>
  <si>
    <t>크라운해태홀딩스</t>
  </si>
  <si>
    <t>오리온홀딩스</t>
  </si>
  <si>
    <t>롯데지주</t>
  </si>
  <si>
    <t>농심</t>
  </si>
  <si>
    <t>반도체_후공정장비</t>
  </si>
  <si>
    <t>유니테스트</t>
  </si>
  <si>
    <t>한미반도체</t>
  </si>
  <si>
    <t>코세스</t>
  </si>
  <si>
    <t>어반리튬</t>
  </si>
  <si>
    <t>통신장비</t>
  </si>
  <si>
    <t>에프알텍</t>
  </si>
  <si>
    <t>스카이문스테크놀로지</t>
  </si>
  <si>
    <t>기산텔레콤</t>
  </si>
  <si>
    <t>케이엠더블유</t>
  </si>
  <si>
    <t>에이스테크</t>
  </si>
  <si>
    <t>콤텍시스템</t>
  </si>
  <si>
    <t>이노와이어리스</t>
  </si>
  <si>
    <t>풍력_단조/기자재</t>
  </si>
  <si>
    <t>삼영엠텍</t>
  </si>
  <si>
    <t>태웅</t>
  </si>
  <si>
    <t>유니슨</t>
  </si>
  <si>
    <t>동국S&amp;C</t>
  </si>
  <si>
    <t>THE E&amp;M</t>
  </si>
  <si>
    <t>휴대폰_RF부품</t>
  </si>
  <si>
    <t>케스피온</t>
  </si>
  <si>
    <t>아비코전자</t>
  </si>
  <si>
    <t>카지노</t>
  </si>
  <si>
    <t>GKL</t>
  </si>
  <si>
    <t>강원랜드</t>
  </si>
  <si>
    <t>파라다이스</t>
  </si>
  <si>
    <t>수산물/수산가공품</t>
  </si>
  <si>
    <t>동원수산</t>
  </si>
  <si>
    <t>동원산업</t>
  </si>
  <si>
    <t>사조산업</t>
  </si>
  <si>
    <t>신라교역</t>
  </si>
  <si>
    <t>한성기업</t>
  </si>
  <si>
    <t>사조오양</t>
  </si>
  <si>
    <t>CJ씨푸드</t>
  </si>
  <si>
    <t>사조대림</t>
  </si>
  <si>
    <t>LCD_장비</t>
  </si>
  <si>
    <t>톱텍</t>
  </si>
  <si>
    <t>참엔지니어링</t>
  </si>
  <si>
    <t>탑엔지니어링</t>
  </si>
  <si>
    <t>인베니아</t>
  </si>
  <si>
    <t>에스에프에이</t>
  </si>
  <si>
    <t>아바코</t>
  </si>
  <si>
    <t>에스엔유</t>
  </si>
  <si>
    <t>APS홀딩스</t>
  </si>
  <si>
    <t>컨텐츠_영상</t>
  </si>
  <si>
    <t>계열사관리 등을 주 사업목적으로 하는 지주부문, 미디어 콘텐츠를 제작 및 유통하는 방송 부문, 영화 부문으로 이루어져있음
대표작으로는 '현재는 아름다워', '수리남' 등</t>
  </si>
  <si>
    <t>버킷스튜디오</t>
  </si>
  <si>
    <t>콘텐츠 유통을 주요 사업으로 영위하는 기업으로 공중파와 케이블에서 확보한 영상 콘텐츠를 제공하는 부과판권을 통해 유통사업 진행</t>
  </si>
  <si>
    <t>스튜디오드래곤</t>
  </si>
  <si>
    <t>CJ ENM의 자회사. 드라마 콘텐츠를 기회 및 제작 배급
도깨비, 사랑의 불시착, 비밀의 숲 등의 대표작 보유</t>
  </si>
  <si>
    <t>1인 미디어 플랫폼으로 매출은 기부경제선물(구독료, 별풍선)과 광고 매출로 구분됨</t>
  </si>
  <si>
    <t>키이스트</t>
  </si>
  <si>
    <t>콘텐츠를 기획 및 제작하고 김서형, 우도환 등 매니지먼트를 영위하는 종합엔터테인먼트 회사
주요 드라마 제작사로 대표작 '보건교사 안은영'을 제작함</t>
  </si>
  <si>
    <t>초록뱀미디어</t>
  </si>
  <si>
    <t>콘텐츠 제작사업과 드라마 콘텐츠 기반으로 하는 각종 부가사업 및 부동산 사업을 영위하고 있음
K-STAR 채널 보유 및 '결혼작사 이혼작곡 시즌1-3' 등의 대표작 보유</t>
  </si>
  <si>
    <t>CJ CGV</t>
  </si>
  <si>
    <t>영화 상영업계 시장점유율 1위로 스크린X, 4DX, 씨네드쉐프 등 프리미엄 상영관도 운영 중
최근 일반 영화 콘텐츠 뿐만 아니라 스포츠, 콘서트 중계등 다양한 콘텐츠를 감상할 수 있는 복합 문화공간으로 탈바꿈함</t>
  </si>
  <si>
    <t>쇼박스</t>
  </si>
  <si>
    <t>영화 및 콘텐츠 사업 제작 업체
오징어게임 제작사인 싸이런픽쳐스에 10억원을 투자하며 오징어게임 관련주로 편입됨
대표작으로는 드라마 '이태원클라쓰', 영화 '압꾸정', '비상선언' 등이 있음</t>
  </si>
  <si>
    <t>IHQ</t>
  </si>
  <si>
    <t>엔터테인먼트 부문과 미디어 부문의 MPP(multiple program provider)로 구성되어있으며, PP의 매출 중 광고 매출이 가장 큰 비중을 차지함</t>
  </si>
  <si>
    <t>팬엔터테인먼트</t>
  </si>
  <si>
    <t>드라마 제작 사업을 영위하는 기업으로 '동백꽃 필 무렵', '가우스전자', '오케이 광자매' 등 대표작 보유
자회사인 팬스타즈컴퍼니를 통하여 전혜빈, 지이수 등 연기자 매니지먼트 사업에까지 영역을 넓히고 있음</t>
  </si>
  <si>
    <t>삼화네트웍스</t>
  </si>
  <si>
    <t>동사의 사업부문은 드라마 콘텐츠를 기획 및 제작하는 드라마 사업과 신인 연기자를 발굴 및 관리하는 매니지먼트 사업으로 구성
대표작으로 '금수저', '낭만닥터 김사부2' 등이 있음</t>
  </si>
  <si>
    <t>SM C&amp;C</t>
  </si>
  <si>
    <t>동사는 광고업, '대탈출', '놀라운토요일' 등과 같은 영상콘텐츠 제작사업, '강호동', '이수근' 등 최고의 MC 라인업을 보유한 매니지먼트 사업, 여행사업 등을 영위하는 미디어기업
최근 OTT확장으로 'NCT LIFE', '레드벨벳의 레벨업' 등과 같은 오리지널 콘텐츠도 기획 및 제작하고 있음</t>
  </si>
  <si>
    <t>중국_내수소비 확대</t>
  </si>
  <si>
    <t>TBH글로벌</t>
  </si>
  <si>
    <t>락앤락</t>
  </si>
  <si>
    <t>부방</t>
  </si>
  <si>
    <t>메타랩스</t>
  </si>
  <si>
    <t>휴비츠</t>
  </si>
  <si>
    <t>오스템임플란트</t>
  </si>
  <si>
    <t>치과용 임플란트 및 치과용 소프트웨어 제조, 판매 사업을 영위함
고령화 진행과 VBP 시행으로 인해 임플란트 시술 비용이 전반적으로 하락하면서 중국 내 임플란트 수요가 크게 증가할 가능성 有</t>
  </si>
  <si>
    <t>CJ제일제당</t>
  </si>
  <si>
    <t>합금철</t>
  </si>
  <si>
    <t>동일산업</t>
  </si>
  <si>
    <t>태경산업</t>
  </si>
  <si>
    <t>바이오_바이오시밀러/베터</t>
  </si>
  <si>
    <t>셀트리온</t>
  </si>
  <si>
    <t>이수앱지스</t>
  </si>
  <si>
    <t>에이프로젠바이오로직스</t>
  </si>
  <si>
    <t>한미약품</t>
  </si>
  <si>
    <t>여행</t>
  </si>
  <si>
    <t>참좋은여행</t>
  </si>
  <si>
    <t>하나투어</t>
  </si>
  <si>
    <t>세중</t>
  </si>
  <si>
    <t>모두투어</t>
  </si>
  <si>
    <t>레드캡투어</t>
  </si>
  <si>
    <t>육계</t>
  </si>
  <si>
    <t>마니커</t>
  </si>
  <si>
    <t>하림</t>
  </si>
  <si>
    <t>동우팜투테이블</t>
  </si>
  <si>
    <t>태양광_발전/설치/운영</t>
  </si>
  <si>
    <t>SDN</t>
  </si>
  <si>
    <t>에스에너지</t>
  </si>
  <si>
    <t>한화솔루션</t>
  </si>
  <si>
    <t>기초소재 부문에는 PE, PVC등 생산·판매, 신재생에너지 부문은 셀과 모듈 등 태양광 제품 생산·판매, 자동차 부품과 태양광 소재 등을 담당하는 가공소재 부문, 리테일 부문의 갤러리아로 구성됨.
미국 내 태양광 Value Chain 태양광 통합 생산 단지 조성을 위한약 3.2조원 규모의 투자 계획을 발표
: IRA 적극 대응하고 시장 지배력 높여 美 태양광 산업 선도 기대</t>
  </si>
  <si>
    <t>자동차_전장화 수혜</t>
  </si>
  <si>
    <t>모베이스전자</t>
  </si>
  <si>
    <t>SNT모티브</t>
  </si>
  <si>
    <t>피에이치에이</t>
  </si>
  <si>
    <t>에스엘</t>
  </si>
  <si>
    <t>MDS테크</t>
  </si>
  <si>
    <t>보안_인터넷</t>
  </si>
  <si>
    <t>이니텍</t>
  </si>
  <si>
    <t>안랩</t>
  </si>
  <si>
    <t>윈스</t>
  </si>
  <si>
    <t>PCB(인쇄회로기판)</t>
  </si>
  <si>
    <t>에이엔피</t>
  </si>
  <si>
    <t>디에이피</t>
  </si>
  <si>
    <t>현우산업</t>
  </si>
  <si>
    <t>이수페타시스</t>
  </si>
  <si>
    <t>뉴프렉스</t>
  </si>
  <si>
    <t>희소금속</t>
  </si>
  <si>
    <t>대원화성</t>
  </si>
  <si>
    <t>EG</t>
  </si>
  <si>
    <t>유니온</t>
  </si>
  <si>
    <t>포스코케미칼</t>
  </si>
  <si>
    <t>포스코인터내셔널</t>
  </si>
  <si>
    <t>합성고무</t>
  </si>
  <si>
    <t>금호석유</t>
  </si>
  <si>
    <t>LG화학</t>
  </si>
  <si>
    <t>AMOLED_장비</t>
  </si>
  <si>
    <t>아이씨디</t>
  </si>
  <si>
    <t>비아트론</t>
  </si>
  <si>
    <t>2차전지_소재(양극화물질등)</t>
  </si>
  <si>
    <t>에코프로비엠</t>
  </si>
  <si>
    <t>2016년 '에코프로' 2차전지 부문을 물적분할하여 에코프로비엠이 신설됨
2차전지 중 양극재를 제조 사업을 영위함</t>
  </si>
  <si>
    <t>에코프로</t>
  </si>
  <si>
    <t>온실가스 감축 등의 환경사업과 리튬이온 이차전지의 핵심소재인 하이니켈계 양극소재를 개발 및 생산하는 전지재료 사업을 영위하고 있음</t>
  </si>
  <si>
    <t>롯데정밀화학</t>
  </si>
  <si>
    <t>GS</t>
  </si>
  <si>
    <t>초록뱀이앤엠</t>
  </si>
  <si>
    <t>코스모신소재</t>
  </si>
  <si>
    <t>코스모화학</t>
  </si>
  <si>
    <t>상신이디피</t>
  </si>
  <si>
    <t>후성</t>
  </si>
  <si>
    <t>엘앤에프</t>
  </si>
  <si>
    <t>의복_아웃도어</t>
  </si>
  <si>
    <t>LS네트웍스</t>
  </si>
  <si>
    <t>영원무역홀딩스</t>
  </si>
  <si>
    <t>LF</t>
  </si>
  <si>
    <t>휠라홀딩스</t>
  </si>
  <si>
    <t>코오롱인더</t>
  </si>
  <si>
    <t>의료기기</t>
  </si>
  <si>
    <t>루트로닉</t>
  </si>
  <si>
    <t>피제이전자</t>
  </si>
  <si>
    <t>신약개발/기술수출</t>
  </si>
  <si>
    <t>녹십자</t>
  </si>
  <si>
    <t>동아쏘시오홀딩스</t>
  </si>
  <si>
    <t>메지온</t>
  </si>
  <si>
    <t>메디프론</t>
  </si>
  <si>
    <t>유한양행</t>
  </si>
  <si>
    <t>씨티씨바이오</t>
  </si>
  <si>
    <t>헬릭스미스</t>
  </si>
  <si>
    <t>그린카_하이브리드카/전기차</t>
  </si>
  <si>
    <t>한온시스템</t>
  </si>
  <si>
    <t>현대차</t>
  </si>
  <si>
    <t>기아</t>
  </si>
  <si>
    <t>인지컨트롤스</t>
  </si>
  <si>
    <t>우리산업홀딩스</t>
  </si>
  <si>
    <t>삼성SDI</t>
  </si>
  <si>
    <t>리튬이온 2차 전지 생산/판매를 에너지솔루션 사업부문과 반도체 소재 생산/판매 하는 전자재료 사업부문을 영위하고 있음</t>
  </si>
  <si>
    <t>LS ELECTRIC</t>
  </si>
  <si>
    <t>엔젤산업</t>
  </si>
  <si>
    <t>아가방컴퍼니</t>
  </si>
  <si>
    <t>동사는 유아의류 및 용품을 판매하는 기업임. 아가방, 디어베이비, 에뜨와 퓨토 등이 동사 보유 주요 브랜드임</t>
  </si>
  <si>
    <t>남양유업</t>
  </si>
  <si>
    <t>동사는 유가공 전문업체로서 총 5곳의 제조시설을 보유하고 있으며, 영업 사업부문은 생산하는 제품의 형태에 따라 우유류, 분유류, 기타로 분류되어 있음
우유류에는 맛있는우유GT, 아인슈타인GT 등이 있으며 분유류에는 아이엠마더, 임페리얼XO 등의 제품군을 보유함.</t>
  </si>
  <si>
    <t>캐릭터디자인 전문기업으로서 캐릭터디자인을 개발하고 캐릭터완구를 상품화하여 국내외 시장에 브랜드마케팅을 하는 글로벌 다국적 회사임.</t>
  </si>
  <si>
    <t>메디앙스</t>
  </si>
  <si>
    <t>매일홀딩스</t>
  </si>
  <si>
    <t>제로투세븐</t>
  </si>
  <si>
    <t>컨텐츠_매니지먼트</t>
  </si>
  <si>
    <t>와이지엔터테인먼트</t>
  </si>
  <si>
    <t>블랙핑크, 악동뮤지션 등 인기 아티스트를 보유한 글로벌 엔터테인먼트</t>
  </si>
  <si>
    <t>에프엔씨엔터</t>
  </si>
  <si>
    <t>FT아일랜드, AOA 등 가수, 배우, 예능인을 보유한 종합 엔터테인먼트</t>
  </si>
  <si>
    <t>에스엠</t>
  </si>
  <si>
    <t>글로벌 한류 및 Kpop을 선도하는 종합 엔터테인먼트 그룹으로 소속 아티스트는 NCT, 에스파, 소녀시대, EXO 등이 있음</t>
  </si>
  <si>
    <t>JYP Ent.</t>
  </si>
  <si>
    <t>박진영, 데이식스, 트와이스 등 가수 및 배우를 보유한 종합 엔터테인먼트</t>
  </si>
  <si>
    <t>큐브엔터</t>
  </si>
  <si>
    <t>비투비, (여자)아이들, 유선호 등 연예인을 보유한 엔터테인먼트</t>
  </si>
  <si>
    <t>부탄가스</t>
  </si>
  <si>
    <t>대륙제관</t>
  </si>
  <si>
    <t>태양</t>
  </si>
  <si>
    <t>자원개발 E&amp;P</t>
  </si>
  <si>
    <t>현대코퍼레이션</t>
  </si>
  <si>
    <t>대성산업</t>
  </si>
  <si>
    <t>아센디오</t>
  </si>
  <si>
    <t>SK네트웍스</t>
  </si>
  <si>
    <t>SK이노베이션</t>
  </si>
  <si>
    <t>에너지 관련 복합 기업 (석유사업, 화학/윤활류 사업, 배터리 등)
자회사 SK지오센트릭은 도시원전 사업을, SK온은 세계 주요 광구를 탐사·에너지 확보를 위한 사업을 진행중</t>
  </si>
  <si>
    <t>LX인터내셔널</t>
  </si>
  <si>
    <t>한국가스공사</t>
  </si>
  <si>
    <t>타이어</t>
  </si>
  <si>
    <t>금호타이어</t>
  </si>
  <si>
    <t>한국타이어앤테크놀로지</t>
  </si>
  <si>
    <t>넥센타이어</t>
  </si>
  <si>
    <t>DN오토모티브</t>
  </si>
  <si>
    <t>홈쇼핑</t>
  </si>
  <si>
    <t>현대홈쇼핑</t>
  </si>
  <si>
    <t>CJ ENM</t>
  </si>
  <si>
    <t>건강식품</t>
  </si>
  <si>
    <t>쎌바이오텍</t>
  </si>
  <si>
    <t>비엘팜텍</t>
  </si>
  <si>
    <t>동원F&amp;B</t>
  </si>
  <si>
    <t>서흥</t>
  </si>
  <si>
    <t>주류</t>
  </si>
  <si>
    <t>롯데칠성</t>
  </si>
  <si>
    <t>무학</t>
  </si>
  <si>
    <t>하이트진로</t>
  </si>
  <si>
    <t>풍국주정</t>
  </si>
  <si>
    <t>한국알콜</t>
  </si>
  <si>
    <t>진로발효</t>
  </si>
  <si>
    <t>국순당</t>
  </si>
  <si>
    <t>합성섬유_원료</t>
  </si>
  <si>
    <t>롯데케미칼</t>
  </si>
  <si>
    <t>카프로</t>
  </si>
  <si>
    <t>효성</t>
  </si>
  <si>
    <t>휴비스</t>
  </si>
  <si>
    <t>에너지 관련 복합 기업 (석유사업, 화학/윤활류 사업 등)</t>
  </si>
  <si>
    <t>티케이케미칼</t>
  </si>
  <si>
    <t>S-Oil</t>
  </si>
  <si>
    <t>빙과</t>
  </si>
  <si>
    <t>빙그레</t>
  </si>
  <si>
    <t>자동차_차량경량화 수혜</t>
  </si>
  <si>
    <t>에코플라스틱</t>
  </si>
  <si>
    <t>화신</t>
  </si>
  <si>
    <t>성우하이텍</t>
  </si>
  <si>
    <t>동원금속</t>
  </si>
  <si>
    <t>조선_해양플랜트</t>
  </si>
  <si>
    <t>대우조선해양</t>
  </si>
  <si>
    <t>삼성중공업</t>
  </si>
  <si>
    <t>HSD엔진</t>
  </si>
  <si>
    <t>슈퍼박테리아</t>
  </si>
  <si>
    <t>인트론바이오</t>
  </si>
  <si>
    <t>비철금속주</t>
  </si>
  <si>
    <t>남선알미늄</t>
  </si>
  <si>
    <t>고려아연</t>
  </si>
  <si>
    <t>대창</t>
  </si>
  <si>
    <t>서원</t>
  </si>
  <si>
    <t>이구산업</t>
  </si>
  <si>
    <t>영풍</t>
  </si>
  <si>
    <t>풍산</t>
  </si>
  <si>
    <t>포스코엠텍</t>
  </si>
  <si>
    <t>원자력_기자재</t>
  </si>
  <si>
    <t>두산에너빌리티</t>
  </si>
  <si>
    <t>하이록코리아</t>
  </si>
  <si>
    <t>태광</t>
  </si>
  <si>
    <t>소프트웨어_자동차용</t>
  </si>
  <si>
    <t>방위산업</t>
  </si>
  <si>
    <t>SNT중공업</t>
  </si>
  <si>
    <t>빅텍</t>
  </si>
  <si>
    <t>대양전기공업</t>
  </si>
  <si>
    <t>스페코</t>
  </si>
  <si>
    <t>HJ중공업</t>
  </si>
  <si>
    <t>한국항공우주</t>
  </si>
  <si>
    <t>배합사료</t>
  </si>
  <si>
    <t>팜스토리</t>
  </si>
  <si>
    <t>팜스코</t>
  </si>
  <si>
    <t>대한제당</t>
  </si>
  <si>
    <t>선진</t>
  </si>
  <si>
    <t>고려산업</t>
  </si>
  <si>
    <t>케이씨피드</t>
  </si>
  <si>
    <t>이지홀딩스</t>
  </si>
  <si>
    <t>우성</t>
  </si>
  <si>
    <t>한일사료</t>
  </si>
  <si>
    <t>곡물가공품_설탕/밀가루/유지</t>
  </si>
  <si>
    <t>삼양사</t>
  </si>
  <si>
    <t>사조동아원</t>
  </si>
  <si>
    <t>한탑</t>
  </si>
  <si>
    <t>대한제분</t>
  </si>
  <si>
    <t>태양광_폴리실리콘</t>
  </si>
  <si>
    <t>오성첨단소재</t>
  </si>
  <si>
    <t>OCI</t>
  </si>
  <si>
    <t>의료기기_안과</t>
  </si>
  <si>
    <t>삼영무역</t>
  </si>
  <si>
    <t>인터로조</t>
  </si>
  <si>
    <t>운송_육상운송</t>
  </si>
  <si>
    <t>CJ대한통운</t>
  </si>
  <si>
    <t>SK렌터카</t>
  </si>
  <si>
    <t>한진</t>
  </si>
  <si>
    <t>한솔로지스틱스</t>
  </si>
  <si>
    <t>현대글로비스</t>
  </si>
  <si>
    <t>태양광_잉곳/웨이퍼/셀/모듈</t>
  </si>
  <si>
    <t>신성이엔지</t>
  </si>
  <si>
    <t>삼성 SDI는 리튬이온 2차 전지 생산/판매를 에너지솔루션 사업부문과 반도체 소재 생산/판매 하는 전자재료 사업부문을 영위하고 있음</t>
  </si>
  <si>
    <t>도시가스</t>
  </si>
  <si>
    <t>인천도시가스</t>
  </si>
  <si>
    <t>예스코홀딩스</t>
  </si>
  <si>
    <t>삼천리</t>
  </si>
  <si>
    <t>서울가스</t>
  </si>
  <si>
    <t>경동인베스트</t>
  </si>
  <si>
    <t>지에스이</t>
  </si>
  <si>
    <t>대성에너지</t>
  </si>
  <si>
    <t>컨텐츠_음원</t>
  </si>
  <si>
    <t>NHN벅스</t>
  </si>
  <si>
    <t xml:space="preserve">음악포털 '벅스'를 통해 디지털 음원서비스 및 음원유통 사업을 영위 중. </t>
  </si>
  <si>
    <t>지니뮤직</t>
  </si>
  <si>
    <t>KT의 자회사. '지니' 플랫폼을 통한 온라인 음악 서비스 및 유통을 주요 사업으로 영위함 (국내 업계 3위)</t>
  </si>
  <si>
    <t>탄소섬유</t>
  </si>
  <si>
    <t>합성수지</t>
  </si>
  <si>
    <t>대한유화</t>
  </si>
  <si>
    <t>환경산업</t>
  </si>
  <si>
    <t>KC코트렐</t>
  </si>
  <si>
    <t>자연과환경</t>
  </si>
  <si>
    <t>네트워크/광통신</t>
  </si>
  <si>
    <t>대한광통신</t>
  </si>
  <si>
    <t>유비쿼스홀딩스</t>
  </si>
  <si>
    <t>라이트론</t>
  </si>
  <si>
    <t>다산네트웍스</t>
  </si>
  <si>
    <t>텔레필드</t>
  </si>
  <si>
    <t>동원시스템즈</t>
  </si>
  <si>
    <t>쏠리드</t>
  </si>
  <si>
    <t>중앙디앤엠</t>
  </si>
  <si>
    <t>방산주</t>
  </si>
  <si>
    <t>현대로템</t>
  </si>
  <si>
    <t>방산주 대표주자
K2 전차를 생산하는 방산 부문과 철도, 플랜트 부문을 영위하는 기업임
매출은 레일 62% 방산 28% 에코플랜트 10%로 구성</t>
  </si>
  <si>
    <t>한화에어로스페이스</t>
  </si>
  <si>
    <t>방산주 대표주자
K9, 천무를 생산하는 방산 부문, FA50경공격기 등을 생산하는 항공엔진, 시큐리티, 항공우주 부문 등을 영위하는 한화 계열사
지배구조 재편과 한화 방산사업부를 가져오며 방산 사업에 집중할 예정임을 발표</t>
  </si>
  <si>
    <t>LIG넥스원</t>
  </si>
  <si>
    <t>방산주 대표주자
대공, 대함, 공대지, 수중무기, 대공방어 시스템인 한국형 사드로 불리는 천공을 제조, 방산물자의 연구개발, 정비 및 판매를 영위하는 기업</t>
  </si>
  <si>
    <t>한화시스템</t>
  </si>
  <si>
    <t>방산주
군사장비의 제조 및 판매하는 방산부문과 IT 아웃소싱 등 서비스 판매하는 ICT부문 사업을 영위하고 있음</t>
  </si>
  <si>
    <t>우주항공</t>
  </si>
  <si>
    <t>한양디지텍</t>
  </si>
  <si>
    <t>비츠로테크</t>
  </si>
  <si>
    <t>한양이엔지</t>
  </si>
  <si>
    <t>쎄트렉아이</t>
  </si>
  <si>
    <t>유가공</t>
  </si>
  <si>
    <t>컨텐츠_한류</t>
  </si>
  <si>
    <t>NEW</t>
  </si>
  <si>
    <t>영화 투자, 배급을 주 사업으로 영위하는 투자배급사</t>
  </si>
  <si>
    <t>의료기기_치아</t>
  </si>
  <si>
    <t>디오</t>
  </si>
  <si>
    <t>바텍</t>
  </si>
  <si>
    <t>레이</t>
  </si>
  <si>
    <t>치과용 기기 제조, 판매 사업을 영위함
매출은 치과용방사선촬영장치 65.65%, 디지털 치료 솔루션 34.35% 로 구성됨
고령화 진행과 중국 VBP 시행으로 임플란트 시술 증가에 따른 관련 인프라 증가로 레이 매출처 증가가 기대됨</t>
  </si>
  <si>
    <t>치과용 임플란트 및 치과용 소프트웨어 제조, 판매 사업을 영위함
고령화 진행과 중국 VBP 시행으로 인해 임플란트 시술 비용이 전반적으로 하락하면서 중국 내 임플란트 수요가 크게 증가할 가능성 有</t>
  </si>
  <si>
    <t>조선_Eco선</t>
  </si>
  <si>
    <t>현대미포조선</t>
  </si>
  <si>
    <t>스마트 그리드</t>
  </si>
  <si>
    <t>광명전기</t>
  </si>
  <si>
    <t>누리플렉스</t>
  </si>
  <si>
    <t>옴니시스템</t>
  </si>
  <si>
    <t>피에스텍</t>
  </si>
  <si>
    <t>코디</t>
  </si>
  <si>
    <t>일진전기</t>
  </si>
  <si>
    <t>LS</t>
  </si>
  <si>
    <t>비츠로시스</t>
  </si>
  <si>
    <t>조선_해양플랜트기자재</t>
  </si>
  <si>
    <t>오리엔탈정공</t>
  </si>
  <si>
    <t>삼강엠앤티</t>
  </si>
  <si>
    <t>2차전지_완제품</t>
  </si>
  <si>
    <t>에너지 관련 복합 기업 (석유사업, 화학/윤활류 사업 등)
자회사 SK온은 전기차 배터리 제조 및 하이니켈 기술기반의 배터리를 제조</t>
  </si>
  <si>
    <t>조선_LNG보냉재</t>
  </si>
  <si>
    <t>동성화인텍</t>
  </si>
  <si>
    <t>한국카본</t>
  </si>
  <si>
    <t>LCD_부품</t>
  </si>
  <si>
    <t>신화인터텍</t>
  </si>
  <si>
    <t>코이즈</t>
  </si>
  <si>
    <t>온실가스배출저감</t>
  </si>
  <si>
    <t>TKG휴켐스</t>
  </si>
  <si>
    <t>라면</t>
  </si>
  <si>
    <t>오뚜기</t>
  </si>
  <si>
    <t>삼양식품</t>
  </si>
  <si>
    <t>FPCB(연성회로기판)</t>
  </si>
  <si>
    <t>이브이첨단소재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</si>
</sst>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DartNBSP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CBA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7"/>
  <sheetViews>
    <sheetView tabSelected="1" topLeftCell="A305" workbookViewId="0">
      <selection activeCell="H312" sqref="H312"/>
    </sheetView>
  </sheetViews>
  <sheetFormatPr defaultRowHeight="16.5"/>
  <cols>
    <col min="2" max="2" width="28.125" bestFit="1" customWidth="1"/>
    <col min="4" max="4" width="23.625" bestFit="1" customWidth="1"/>
    <col min="5" max="5" width="9.125" bestFit="1" customWidth="1"/>
    <col min="8" max="8" width="44.75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ht="33">
      <c r="A2" t="str">
        <f t="shared" ref="A2:A8" si="0">"400"</f>
        <v>400</v>
      </c>
      <c r="B2" t="s">
        <v>9</v>
      </c>
      <c r="C2" t="str">
        <f>"006220"</f>
        <v>006220</v>
      </c>
      <c r="D2" t="s">
        <v>10</v>
      </c>
      <c r="E2">
        <v>3823</v>
      </c>
      <c r="F2">
        <v>0</v>
      </c>
      <c r="G2">
        <v>0</v>
      </c>
      <c r="H2" s="1" t="s">
        <v>11</v>
      </c>
      <c r="I2" t="s">
        <v>12</v>
      </c>
    </row>
    <row r="3" spans="1:9" ht="66">
      <c r="A3" t="str">
        <f t="shared" si="0"/>
        <v>400</v>
      </c>
      <c r="B3" t="s">
        <v>9</v>
      </c>
      <c r="C3" t="str">
        <f>"055550"</f>
        <v>055550</v>
      </c>
      <c r="D3" t="s">
        <v>13</v>
      </c>
      <c r="E3">
        <v>200716</v>
      </c>
      <c r="F3">
        <v>0</v>
      </c>
      <c r="G3">
        <v>0</v>
      </c>
      <c r="H3" s="1" t="s">
        <v>14</v>
      </c>
      <c r="I3" t="s">
        <v>12</v>
      </c>
    </row>
    <row r="4" spans="1:9" ht="49.5">
      <c r="A4" t="str">
        <f t="shared" si="0"/>
        <v>400</v>
      </c>
      <c r="B4" t="s">
        <v>9</v>
      </c>
      <c r="C4" t="str">
        <f>"086790"</f>
        <v>086790</v>
      </c>
      <c r="D4" t="s">
        <v>15</v>
      </c>
      <c r="E4">
        <v>138927</v>
      </c>
      <c r="F4">
        <v>0</v>
      </c>
      <c r="G4">
        <v>0</v>
      </c>
      <c r="H4" s="1" t="s">
        <v>16</v>
      </c>
      <c r="I4" t="s">
        <v>12</v>
      </c>
    </row>
    <row r="5" spans="1:9" ht="66">
      <c r="A5" t="str">
        <f t="shared" si="0"/>
        <v>400</v>
      </c>
      <c r="B5" t="s">
        <v>9</v>
      </c>
      <c r="C5" t="str">
        <f>"105560"</f>
        <v>105560</v>
      </c>
      <c r="D5" t="s">
        <v>17</v>
      </c>
      <c r="E5">
        <v>220396</v>
      </c>
      <c r="F5">
        <v>0</v>
      </c>
      <c r="G5">
        <v>0</v>
      </c>
      <c r="H5" s="1" t="s">
        <v>18</v>
      </c>
      <c r="I5" t="s">
        <v>12</v>
      </c>
    </row>
    <row r="6" spans="1:9">
      <c r="A6" t="str">
        <f t="shared" si="0"/>
        <v>400</v>
      </c>
      <c r="B6" t="s">
        <v>9</v>
      </c>
      <c r="C6" t="str">
        <f>"024110"</f>
        <v>024110</v>
      </c>
      <c r="D6" t="s">
        <v>19</v>
      </c>
      <c r="E6">
        <v>80141</v>
      </c>
      <c r="F6">
        <v>0</v>
      </c>
      <c r="G6">
        <v>0</v>
      </c>
      <c r="H6" s="1" t="s">
        <v>20</v>
      </c>
      <c r="I6" t="s">
        <v>12</v>
      </c>
    </row>
    <row r="7" spans="1:9" ht="49.5">
      <c r="A7" t="str">
        <f t="shared" si="0"/>
        <v>400</v>
      </c>
      <c r="B7" t="s">
        <v>9</v>
      </c>
      <c r="C7" t="str">
        <f>"139130"</f>
        <v>139130</v>
      </c>
      <c r="D7" t="s">
        <v>21</v>
      </c>
      <c r="E7">
        <v>12178</v>
      </c>
      <c r="F7">
        <v>0</v>
      </c>
      <c r="G7">
        <v>0</v>
      </c>
      <c r="H7" s="1" t="s">
        <v>22</v>
      </c>
      <c r="I7" t="s">
        <v>12</v>
      </c>
    </row>
    <row r="8" spans="1:9" ht="49.5">
      <c r="A8" t="str">
        <f t="shared" si="0"/>
        <v>400</v>
      </c>
      <c r="B8" t="s">
        <v>9</v>
      </c>
      <c r="C8" t="str">
        <f>"138930"</f>
        <v>138930</v>
      </c>
      <c r="D8" t="s">
        <v>23</v>
      </c>
      <c r="E8">
        <v>21870</v>
      </c>
      <c r="F8">
        <v>0</v>
      </c>
      <c r="G8">
        <v>0</v>
      </c>
      <c r="H8" s="1" t="s">
        <v>24</v>
      </c>
      <c r="I8" t="s">
        <v>12</v>
      </c>
    </row>
    <row r="9" spans="1:9">
      <c r="A9" t="str">
        <f>"420"</f>
        <v>420</v>
      </c>
      <c r="B9" t="s">
        <v>25</v>
      </c>
      <c r="C9" t="str">
        <f>"088350"</f>
        <v>088350</v>
      </c>
      <c r="D9" t="s">
        <v>26</v>
      </c>
      <c r="E9">
        <v>25231</v>
      </c>
      <c r="F9">
        <v>0</v>
      </c>
      <c r="G9">
        <v>0</v>
      </c>
      <c r="H9" s="1" t="s">
        <v>27</v>
      </c>
      <c r="I9" t="s">
        <v>12</v>
      </c>
    </row>
    <row r="10" spans="1:9" ht="33">
      <c r="A10" t="str">
        <f>"420"</f>
        <v>420</v>
      </c>
      <c r="B10" t="s">
        <v>25</v>
      </c>
      <c r="C10" t="str">
        <f>"082640"</f>
        <v>082640</v>
      </c>
      <c r="D10" t="s">
        <v>28</v>
      </c>
      <c r="E10">
        <v>7753</v>
      </c>
      <c r="F10">
        <v>0</v>
      </c>
      <c r="G10">
        <v>0</v>
      </c>
      <c r="H10" s="1" t="s">
        <v>29</v>
      </c>
      <c r="I10" t="s">
        <v>12</v>
      </c>
    </row>
    <row r="11" spans="1:9" ht="49.5">
      <c r="A11" t="str">
        <f>"420"</f>
        <v>420</v>
      </c>
      <c r="B11" t="s">
        <v>25</v>
      </c>
      <c r="C11" t="str">
        <f>"032830"</f>
        <v>032830</v>
      </c>
      <c r="D11" t="s">
        <v>30</v>
      </c>
      <c r="E11">
        <v>142200</v>
      </c>
      <c r="F11">
        <v>0</v>
      </c>
      <c r="G11">
        <v>0</v>
      </c>
      <c r="H11" s="1" t="s">
        <v>31</v>
      </c>
      <c r="I11" t="s">
        <v>12</v>
      </c>
    </row>
    <row r="12" spans="1:9">
      <c r="A12" t="str">
        <f>"550"</f>
        <v>550</v>
      </c>
      <c r="B12" t="s">
        <v>32</v>
      </c>
      <c r="C12" t="str">
        <f>"005930"</f>
        <v>005930</v>
      </c>
      <c r="D12" t="s">
        <v>33</v>
      </c>
      <c r="E12">
        <v>3474413</v>
      </c>
      <c r="F12">
        <v>0</v>
      </c>
      <c r="G12">
        <v>0</v>
      </c>
    </row>
    <row r="13" spans="1:9">
      <c r="A13" t="str">
        <f>"550"</f>
        <v>550</v>
      </c>
      <c r="B13" t="s">
        <v>32</v>
      </c>
      <c r="C13" t="str">
        <f>"000660"</f>
        <v>000660</v>
      </c>
      <c r="D13" t="s">
        <v>34</v>
      </c>
      <c r="E13">
        <v>594050</v>
      </c>
      <c r="F13">
        <v>0</v>
      </c>
      <c r="G13">
        <v>0</v>
      </c>
    </row>
    <row r="14" spans="1:9">
      <c r="A14" t="str">
        <f>"550"</f>
        <v>550</v>
      </c>
      <c r="B14" t="s">
        <v>32</v>
      </c>
      <c r="C14" t="str">
        <f>"000990"</f>
        <v>000990</v>
      </c>
      <c r="D14" t="s">
        <v>35</v>
      </c>
      <c r="E14">
        <v>17582</v>
      </c>
      <c r="F14">
        <v>0</v>
      </c>
      <c r="G14">
        <v>0</v>
      </c>
    </row>
    <row r="15" spans="1:9">
      <c r="A15" t="str">
        <f>"202"</f>
        <v>202</v>
      </c>
      <c r="B15" t="s">
        <v>36</v>
      </c>
      <c r="C15" t="str">
        <f>"014280"</f>
        <v>014280</v>
      </c>
      <c r="D15" t="s">
        <v>37</v>
      </c>
      <c r="E15">
        <v>1830</v>
      </c>
      <c r="F15">
        <v>0</v>
      </c>
      <c r="G15">
        <v>0</v>
      </c>
    </row>
    <row r="16" spans="1:9">
      <c r="A16" t="str">
        <f>"202"</f>
        <v>202</v>
      </c>
      <c r="B16" t="s">
        <v>36</v>
      </c>
      <c r="C16" t="str">
        <f>"018310"</f>
        <v>018310</v>
      </c>
      <c r="D16" t="s">
        <v>38</v>
      </c>
      <c r="E16">
        <v>2514</v>
      </c>
      <c r="F16">
        <v>0</v>
      </c>
      <c r="G16">
        <v>0</v>
      </c>
    </row>
    <row r="17" spans="1:9">
      <c r="A17" t="str">
        <f>"452"</f>
        <v>452</v>
      </c>
      <c r="B17" t="s">
        <v>39</v>
      </c>
      <c r="C17" t="str">
        <f>"035720"</f>
        <v>035720</v>
      </c>
      <c r="D17" t="s">
        <v>40</v>
      </c>
      <c r="E17">
        <v>257893</v>
      </c>
      <c r="F17">
        <v>0</v>
      </c>
      <c r="G17">
        <v>0</v>
      </c>
    </row>
    <row r="18" spans="1:9">
      <c r="A18" t="str">
        <f>"452"</f>
        <v>452</v>
      </c>
      <c r="B18" t="s">
        <v>39</v>
      </c>
      <c r="C18" t="str">
        <f>"035420"</f>
        <v>035420</v>
      </c>
      <c r="D18" t="s">
        <v>41</v>
      </c>
      <c r="E18">
        <v>306772</v>
      </c>
      <c r="F18">
        <v>0</v>
      </c>
      <c r="G18">
        <v>0</v>
      </c>
    </row>
    <row r="19" spans="1:9">
      <c r="A19" t="str">
        <f>"452"</f>
        <v>452</v>
      </c>
      <c r="B19" t="s">
        <v>39</v>
      </c>
      <c r="C19" t="str">
        <f>"112040"</f>
        <v>112040</v>
      </c>
      <c r="D19" t="s">
        <v>42</v>
      </c>
      <c r="E19">
        <v>11187</v>
      </c>
      <c r="F19">
        <v>0</v>
      </c>
      <c r="G19">
        <v>0</v>
      </c>
    </row>
    <row r="20" spans="1:9">
      <c r="A20" t="str">
        <f>"410"</f>
        <v>410</v>
      </c>
      <c r="B20" t="s">
        <v>43</v>
      </c>
      <c r="C20" t="str">
        <f>"030210"</f>
        <v>030210</v>
      </c>
      <c r="D20" t="s">
        <v>44</v>
      </c>
      <c r="E20">
        <v>1713</v>
      </c>
      <c r="F20">
        <v>0</v>
      </c>
      <c r="G20">
        <v>0</v>
      </c>
    </row>
    <row r="21" spans="1:9">
      <c r="A21" t="str">
        <f>"410"</f>
        <v>410</v>
      </c>
      <c r="B21" t="s">
        <v>43</v>
      </c>
      <c r="C21" t="str">
        <f>"071050"</f>
        <v>071050</v>
      </c>
      <c r="D21" t="s">
        <v>45</v>
      </c>
      <c r="E21">
        <v>31820</v>
      </c>
      <c r="F21">
        <v>0</v>
      </c>
      <c r="G21">
        <v>0</v>
      </c>
    </row>
    <row r="22" spans="1:9">
      <c r="A22" t="str">
        <f>"410"</f>
        <v>410</v>
      </c>
      <c r="B22" t="s">
        <v>43</v>
      </c>
      <c r="C22" t="str">
        <f>"019550"</f>
        <v>019550</v>
      </c>
      <c r="D22" t="s">
        <v>46</v>
      </c>
      <c r="E22">
        <v>1726</v>
      </c>
      <c r="F22">
        <v>0</v>
      </c>
      <c r="G22">
        <v>0</v>
      </c>
    </row>
    <row r="23" spans="1:9">
      <c r="A23" t="str">
        <f>"410"</f>
        <v>410</v>
      </c>
      <c r="B23" t="s">
        <v>43</v>
      </c>
      <c r="C23" t="str">
        <f>"021080"</f>
        <v>021080</v>
      </c>
      <c r="D23" t="s">
        <v>47</v>
      </c>
      <c r="E23">
        <v>1236</v>
      </c>
      <c r="F23">
        <v>0</v>
      </c>
      <c r="G23">
        <v>0</v>
      </c>
    </row>
    <row r="24" spans="1:9">
      <c r="A24" t="str">
        <f>"410"</f>
        <v>410</v>
      </c>
      <c r="B24" t="s">
        <v>43</v>
      </c>
      <c r="C24" t="str">
        <f>"026890"</f>
        <v>026890</v>
      </c>
      <c r="D24" t="s">
        <v>48</v>
      </c>
      <c r="E24">
        <v>2209</v>
      </c>
      <c r="F24">
        <v>0</v>
      </c>
      <c r="G24">
        <v>0</v>
      </c>
    </row>
    <row r="25" spans="1:9">
      <c r="A25" t="str">
        <f>"201"</f>
        <v>201</v>
      </c>
      <c r="B25" t="s">
        <v>49</v>
      </c>
      <c r="C25" t="str">
        <f>"012630"</f>
        <v>012630</v>
      </c>
      <c r="D25" t="s">
        <v>50</v>
      </c>
      <c r="E25">
        <v>3357</v>
      </c>
      <c r="F25">
        <v>0</v>
      </c>
      <c r="G25">
        <v>0</v>
      </c>
    </row>
    <row r="26" spans="1:9">
      <c r="A26" t="str">
        <f>"201"</f>
        <v>201</v>
      </c>
      <c r="B26" t="s">
        <v>49</v>
      </c>
      <c r="C26" t="str">
        <f>"013580"</f>
        <v>013580</v>
      </c>
      <c r="D26" t="s">
        <v>51</v>
      </c>
      <c r="E26">
        <v>1625</v>
      </c>
      <c r="F26">
        <v>0</v>
      </c>
      <c r="G26">
        <v>0</v>
      </c>
    </row>
    <row r="27" spans="1:9">
      <c r="A27" t="str">
        <f>"201"</f>
        <v>201</v>
      </c>
      <c r="B27" t="s">
        <v>49</v>
      </c>
      <c r="C27" t="str">
        <f>"014790"</f>
        <v>014790</v>
      </c>
      <c r="D27" t="s">
        <v>52</v>
      </c>
      <c r="E27">
        <v>1015</v>
      </c>
      <c r="F27">
        <v>0</v>
      </c>
      <c r="G27">
        <v>0</v>
      </c>
    </row>
    <row r="28" spans="1:9" ht="82.5">
      <c r="A28" t="str">
        <f>"201"</f>
        <v>201</v>
      </c>
      <c r="B28" t="s">
        <v>49</v>
      </c>
      <c r="C28" t="str">
        <f>"047040"</f>
        <v>047040</v>
      </c>
      <c r="D28" t="s">
        <v>53</v>
      </c>
      <c r="E28">
        <v>17124</v>
      </c>
      <c r="F28">
        <v>0</v>
      </c>
      <c r="G28">
        <v>0</v>
      </c>
      <c r="H28" s="1" t="s">
        <v>54</v>
      </c>
      <c r="I28" t="s">
        <v>12</v>
      </c>
    </row>
    <row r="29" spans="1:9">
      <c r="A29" t="str">
        <f t="shared" ref="A29:A36" si="1">"471"</f>
        <v>471</v>
      </c>
      <c r="B29" t="s">
        <v>55</v>
      </c>
      <c r="C29" t="str">
        <f>"035720"</f>
        <v>035720</v>
      </c>
      <c r="D29" t="s">
        <v>40</v>
      </c>
      <c r="E29">
        <v>257893</v>
      </c>
      <c r="F29">
        <v>0</v>
      </c>
      <c r="G29">
        <v>0</v>
      </c>
    </row>
    <row r="30" spans="1:9">
      <c r="A30" t="str">
        <f t="shared" si="1"/>
        <v>471</v>
      </c>
      <c r="B30" t="s">
        <v>55</v>
      </c>
      <c r="C30" t="str">
        <f>"067160"</f>
        <v>067160</v>
      </c>
      <c r="D30" t="s">
        <v>56</v>
      </c>
      <c r="E30">
        <v>8885</v>
      </c>
      <c r="F30">
        <v>0</v>
      </c>
      <c r="G30">
        <v>0</v>
      </c>
    </row>
    <row r="31" spans="1:9">
      <c r="A31" t="str">
        <f t="shared" si="1"/>
        <v>471</v>
      </c>
      <c r="B31" t="s">
        <v>55</v>
      </c>
      <c r="C31" t="str">
        <f>"063080"</f>
        <v>063080</v>
      </c>
      <c r="D31" t="s">
        <v>57</v>
      </c>
      <c r="E31">
        <v>2651</v>
      </c>
      <c r="F31">
        <v>0</v>
      </c>
      <c r="G31">
        <v>0</v>
      </c>
    </row>
    <row r="32" spans="1:9">
      <c r="A32" t="str">
        <f t="shared" si="1"/>
        <v>471</v>
      </c>
      <c r="B32" t="s">
        <v>55</v>
      </c>
      <c r="C32" t="str">
        <f>"035420"</f>
        <v>035420</v>
      </c>
      <c r="D32" t="s">
        <v>41</v>
      </c>
      <c r="E32">
        <v>306772</v>
      </c>
      <c r="F32">
        <v>0</v>
      </c>
      <c r="G32">
        <v>0</v>
      </c>
    </row>
    <row r="33" spans="1:7">
      <c r="A33" t="str">
        <f t="shared" si="1"/>
        <v>471</v>
      </c>
      <c r="B33" t="s">
        <v>55</v>
      </c>
      <c r="C33" t="str">
        <f>"078340"</f>
        <v>078340</v>
      </c>
      <c r="D33" t="s">
        <v>58</v>
      </c>
      <c r="E33">
        <v>7771</v>
      </c>
      <c r="F33">
        <v>0</v>
      </c>
      <c r="G33">
        <v>0</v>
      </c>
    </row>
    <row r="34" spans="1:7">
      <c r="A34" t="str">
        <f t="shared" si="1"/>
        <v>471</v>
      </c>
      <c r="B34" t="s">
        <v>55</v>
      </c>
      <c r="C34" t="str">
        <f>"112040"</f>
        <v>112040</v>
      </c>
      <c r="D34" t="s">
        <v>42</v>
      </c>
      <c r="E34">
        <v>11187</v>
      </c>
      <c r="F34">
        <v>0</v>
      </c>
      <c r="G34">
        <v>0</v>
      </c>
    </row>
    <row r="35" spans="1:7">
      <c r="A35" t="str">
        <f t="shared" si="1"/>
        <v>471</v>
      </c>
      <c r="B35" t="s">
        <v>55</v>
      </c>
      <c r="C35" t="str">
        <f>"095660"</f>
        <v>095660</v>
      </c>
      <c r="D35" t="s">
        <v>59</v>
      </c>
      <c r="E35">
        <v>8020</v>
      </c>
      <c r="F35">
        <v>0</v>
      </c>
      <c r="G35">
        <v>0</v>
      </c>
    </row>
    <row r="36" spans="1:7">
      <c r="A36" t="str">
        <f t="shared" si="1"/>
        <v>471</v>
      </c>
      <c r="B36" t="s">
        <v>55</v>
      </c>
      <c r="C36" t="str">
        <f>"067000"</f>
        <v>067000</v>
      </c>
      <c r="D36" t="s">
        <v>60</v>
      </c>
      <c r="E36">
        <v>3207</v>
      </c>
      <c r="F36">
        <v>0</v>
      </c>
      <c r="G36">
        <v>0</v>
      </c>
    </row>
    <row r="37" spans="1:7">
      <c r="A37" t="str">
        <f t="shared" ref="A37:A43" si="2">"555"</f>
        <v>555</v>
      </c>
      <c r="B37" t="s">
        <v>61</v>
      </c>
      <c r="C37" t="str">
        <f>"068790"</f>
        <v>068790</v>
      </c>
      <c r="D37" t="s">
        <v>62</v>
      </c>
      <c r="E37">
        <v>1496</v>
      </c>
      <c r="F37">
        <v>0</v>
      </c>
      <c r="G37">
        <v>0</v>
      </c>
    </row>
    <row r="38" spans="1:7">
      <c r="A38" t="str">
        <f t="shared" si="2"/>
        <v>555</v>
      </c>
      <c r="B38" t="s">
        <v>61</v>
      </c>
      <c r="C38" t="str">
        <f>"095610"</f>
        <v>095610</v>
      </c>
      <c r="D38" t="s">
        <v>63</v>
      </c>
      <c r="E38">
        <v>3262</v>
      </c>
      <c r="F38">
        <v>0</v>
      </c>
      <c r="G38">
        <v>0</v>
      </c>
    </row>
    <row r="39" spans="1:7">
      <c r="A39" t="str">
        <f t="shared" si="2"/>
        <v>555</v>
      </c>
      <c r="B39" t="s">
        <v>61</v>
      </c>
      <c r="C39" t="str">
        <f>"036930"</f>
        <v>036930</v>
      </c>
      <c r="D39" t="s">
        <v>64</v>
      </c>
      <c r="E39">
        <v>5404</v>
      </c>
      <c r="F39">
        <v>0</v>
      </c>
      <c r="G39">
        <v>0</v>
      </c>
    </row>
    <row r="40" spans="1:7">
      <c r="A40" t="str">
        <f t="shared" si="2"/>
        <v>555</v>
      </c>
      <c r="B40" t="s">
        <v>61</v>
      </c>
      <c r="C40" t="str">
        <f>"030530"</f>
        <v>030530</v>
      </c>
      <c r="D40" t="s">
        <v>65</v>
      </c>
      <c r="E40">
        <v>2657</v>
      </c>
      <c r="F40">
        <v>0</v>
      </c>
      <c r="G40">
        <v>0</v>
      </c>
    </row>
    <row r="41" spans="1:7">
      <c r="A41" t="str">
        <f t="shared" si="2"/>
        <v>555</v>
      </c>
      <c r="B41" t="s">
        <v>61</v>
      </c>
      <c r="C41" t="str">
        <f>"029460"</f>
        <v>029460</v>
      </c>
      <c r="D41" t="s">
        <v>66</v>
      </c>
      <c r="E41">
        <v>2365</v>
      </c>
      <c r="F41">
        <v>0</v>
      </c>
      <c r="G41">
        <v>0</v>
      </c>
    </row>
    <row r="42" spans="1:7">
      <c r="A42" t="str">
        <f t="shared" si="2"/>
        <v>555</v>
      </c>
      <c r="B42" t="s">
        <v>61</v>
      </c>
      <c r="C42" t="str">
        <f>"084370"</f>
        <v>084370</v>
      </c>
      <c r="D42" t="s">
        <v>67</v>
      </c>
      <c r="E42">
        <v>5385</v>
      </c>
      <c r="F42">
        <v>0</v>
      </c>
      <c r="G42">
        <v>0</v>
      </c>
    </row>
    <row r="43" spans="1:7">
      <c r="A43" t="str">
        <f t="shared" si="2"/>
        <v>555</v>
      </c>
      <c r="B43" t="s">
        <v>61</v>
      </c>
      <c r="C43" t="str">
        <f>"031980"</f>
        <v>031980</v>
      </c>
      <c r="D43" t="s">
        <v>68</v>
      </c>
      <c r="E43">
        <v>1641</v>
      </c>
      <c r="F43">
        <v>0</v>
      </c>
      <c r="G43">
        <v>0</v>
      </c>
    </row>
    <row r="44" spans="1:7">
      <c r="A44" t="str">
        <f t="shared" ref="A44:A56" si="3">"454"</f>
        <v>454</v>
      </c>
      <c r="B44" t="s">
        <v>69</v>
      </c>
      <c r="C44" t="str">
        <f>"054920"</f>
        <v>054920</v>
      </c>
      <c r="D44" t="s">
        <v>70</v>
      </c>
      <c r="E44">
        <v>1295</v>
      </c>
      <c r="F44">
        <v>0</v>
      </c>
      <c r="G44">
        <v>0</v>
      </c>
    </row>
    <row r="45" spans="1:7">
      <c r="A45" t="str">
        <f t="shared" si="3"/>
        <v>454</v>
      </c>
      <c r="B45" t="s">
        <v>69</v>
      </c>
      <c r="C45" t="str">
        <f>"060250"</f>
        <v>060250</v>
      </c>
      <c r="D45" t="s">
        <v>71</v>
      </c>
      <c r="E45">
        <v>5221</v>
      </c>
      <c r="F45">
        <v>0</v>
      </c>
      <c r="G45">
        <v>0</v>
      </c>
    </row>
    <row r="46" spans="1:7">
      <c r="A46" t="str">
        <f t="shared" si="3"/>
        <v>454</v>
      </c>
      <c r="B46" t="s">
        <v>69</v>
      </c>
      <c r="C46" t="str">
        <f>"038460"</f>
        <v>038460</v>
      </c>
      <c r="D46" t="s">
        <v>72</v>
      </c>
      <c r="E46">
        <v>691</v>
      </c>
      <c r="F46">
        <v>0</v>
      </c>
      <c r="G46">
        <v>0</v>
      </c>
    </row>
    <row r="47" spans="1:7">
      <c r="A47" t="str">
        <f t="shared" si="3"/>
        <v>454</v>
      </c>
      <c r="B47" t="s">
        <v>69</v>
      </c>
      <c r="C47" t="str">
        <f>"025770"</f>
        <v>025770</v>
      </c>
      <c r="D47" t="s">
        <v>73</v>
      </c>
      <c r="E47">
        <v>4325</v>
      </c>
      <c r="F47">
        <v>0</v>
      </c>
      <c r="G47">
        <v>0</v>
      </c>
    </row>
    <row r="48" spans="1:7">
      <c r="A48" t="str">
        <f t="shared" si="3"/>
        <v>454</v>
      </c>
      <c r="B48" t="s">
        <v>69</v>
      </c>
      <c r="C48" t="str">
        <f>"052400"</f>
        <v>052400</v>
      </c>
      <c r="D48" t="s">
        <v>74</v>
      </c>
      <c r="E48">
        <v>2497</v>
      </c>
      <c r="F48">
        <v>0</v>
      </c>
      <c r="G48">
        <v>0</v>
      </c>
    </row>
    <row r="49" spans="1:7">
      <c r="A49" t="str">
        <f t="shared" si="3"/>
        <v>454</v>
      </c>
      <c r="B49" t="s">
        <v>69</v>
      </c>
      <c r="C49" t="str">
        <f>"064260"</f>
        <v>064260</v>
      </c>
      <c r="D49" t="s">
        <v>75</v>
      </c>
      <c r="E49">
        <v>3551</v>
      </c>
      <c r="F49">
        <v>0</v>
      </c>
      <c r="G49">
        <v>0</v>
      </c>
    </row>
    <row r="50" spans="1:7">
      <c r="A50" t="str">
        <f t="shared" si="3"/>
        <v>454</v>
      </c>
      <c r="B50" t="s">
        <v>69</v>
      </c>
      <c r="C50" t="str">
        <f>"035600"</f>
        <v>035600</v>
      </c>
      <c r="D50" t="s">
        <v>76</v>
      </c>
      <c r="E50">
        <v>3237</v>
      </c>
      <c r="F50">
        <v>0</v>
      </c>
      <c r="G50">
        <v>0</v>
      </c>
    </row>
    <row r="51" spans="1:7">
      <c r="A51" t="str">
        <f t="shared" si="3"/>
        <v>454</v>
      </c>
      <c r="B51" t="s">
        <v>69</v>
      </c>
      <c r="C51" t="str">
        <f>"046440"</f>
        <v>046440</v>
      </c>
      <c r="D51" t="s">
        <v>77</v>
      </c>
      <c r="E51">
        <v>2132</v>
      </c>
      <c r="F51">
        <v>0</v>
      </c>
      <c r="G51">
        <v>0</v>
      </c>
    </row>
    <row r="52" spans="1:7">
      <c r="A52" t="str">
        <f t="shared" si="3"/>
        <v>454</v>
      </c>
      <c r="B52" t="s">
        <v>69</v>
      </c>
      <c r="C52" t="str">
        <f>"115310"</f>
        <v>115310</v>
      </c>
      <c r="D52" t="s">
        <v>78</v>
      </c>
      <c r="E52">
        <v>726</v>
      </c>
      <c r="F52">
        <v>0</v>
      </c>
      <c r="G52">
        <v>0</v>
      </c>
    </row>
    <row r="53" spans="1:7">
      <c r="A53" t="str">
        <f t="shared" si="3"/>
        <v>454</v>
      </c>
      <c r="B53" t="s">
        <v>69</v>
      </c>
      <c r="C53" t="str">
        <f>"089850"</f>
        <v>089850</v>
      </c>
      <c r="D53" t="s">
        <v>79</v>
      </c>
      <c r="E53">
        <v>815</v>
      </c>
      <c r="F53">
        <v>0</v>
      </c>
      <c r="G53">
        <v>0</v>
      </c>
    </row>
    <row r="54" spans="1:7">
      <c r="A54" t="str">
        <f t="shared" si="3"/>
        <v>454</v>
      </c>
      <c r="B54" t="s">
        <v>69</v>
      </c>
      <c r="C54" t="str">
        <f>"034730"</f>
        <v>034730</v>
      </c>
      <c r="D54" t="s">
        <v>80</v>
      </c>
      <c r="E54">
        <v>139030</v>
      </c>
      <c r="F54">
        <v>0</v>
      </c>
      <c r="G54">
        <v>0</v>
      </c>
    </row>
    <row r="55" spans="1:7">
      <c r="A55" t="str">
        <f t="shared" si="3"/>
        <v>454</v>
      </c>
      <c r="B55" t="s">
        <v>69</v>
      </c>
      <c r="C55" t="str">
        <f>"036800"</f>
        <v>036800</v>
      </c>
      <c r="D55" t="s">
        <v>81</v>
      </c>
      <c r="E55">
        <v>2575</v>
      </c>
      <c r="F55">
        <v>0</v>
      </c>
      <c r="G55">
        <v>0</v>
      </c>
    </row>
    <row r="56" spans="1:7">
      <c r="A56" t="str">
        <f t="shared" si="3"/>
        <v>454</v>
      </c>
      <c r="B56" t="s">
        <v>69</v>
      </c>
      <c r="C56" t="str">
        <f>"950110"</f>
        <v>950110</v>
      </c>
      <c r="D56" t="s">
        <v>82</v>
      </c>
      <c r="E56">
        <v>914</v>
      </c>
      <c r="F56">
        <v>0</v>
      </c>
      <c r="G56">
        <v>0</v>
      </c>
    </row>
    <row r="57" spans="1:7">
      <c r="A57" t="str">
        <f t="shared" ref="A57:A76" si="4">"430"</f>
        <v>430</v>
      </c>
      <c r="B57" t="s">
        <v>83</v>
      </c>
      <c r="C57" t="str">
        <f>"030210"</f>
        <v>030210</v>
      </c>
      <c r="D57" t="s">
        <v>44</v>
      </c>
      <c r="E57">
        <v>1713</v>
      </c>
      <c r="F57">
        <v>0</v>
      </c>
      <c r="G57">
        <v>0</v>
      </c>
    </row>
    <row r="58" spans="1:7">
      <c r="A58" t="str">
        <f t="shared" si="4"/>
        <v>430</v>
      </c>
      <c r="B58" t="s">
        <v>83</v>
      </c>
      <c r="C58" t="str">
        <f>"003530"</f>
        <v>003530</v>
      </c>
      <c r="D58" t="s">
        <v>84</v>
      </c>
      <c r="E58">
        <v>5439</v>
      </c>
      <c r="F58">
        <v>0</v>
      </c>
      <c r="G58">
        <v>0</v>
      </c>
    </row>
    <row r="59" spans="1:7">
      <c r="A59" t="str">
        <f t="shared" si="4"/>
        <v>430</v>
      </c>
      <c r="B59" t="s">
        <v>83</v>
      </c>
      <c r="C59" t="str">
        <f>"006800"</f>
        <v>006800</v>
      </c>
      <c r="D59" t="s">
        <v>85</v>
      </c>
      <c r="E59">
        <v>39811</v>
      </c>
      <c r="F59">
        <v>0</v>
      </c>
      <c r="G59">
        <v>0</v>
      </c>
    </row>
    <row r="60" spans="1:7">
      <c r="A60" t="str">
        <f t="shared" si="4"/>
        <v>430</v>
      </c>
      <c r="B60" t="s">
        <v>83</v>
      </c>
      <c r="C60" t="str">
        <f>"001200"</f>
        <v>001200</v>
      </c>
      <c r="D60" t="s">
        <v>86</v>
      </c>
      <c r="E60">
        <v>2407</v>
      </c>
      <c r="F60">
        <v>0</v>
      </c>
      <c r="G60">
        <v>0</v>
      </c>
    </row>
    <row r="61" spans="1:7">
      <c r="A61" t="str">
        <f t="shared" si="4"/>
        <v>430</v>
      </c>
      <c r="B61" t="s">
        <v>83</v>
      </c>
      <c r="C61" t="str">
        <f>"071050"</f>
        <v>071050</v>
      </c>
      <c r="D61" t="s">
        <v>45</v>
      </c>
      <c r="E61">
        <v>31820</v>
      </c>
      <c r="F61">
        <v>0</v>
      </c>
      <c r="G61">
        <v>0</v>
      </c>
    </row>
    <row r="62" spans="1:7">
      <c r="A62" t="str">
        <f t="shared" si="4"/>
        <v>430</v>
      </c>
      <c r="B62" t="s">
        <v>83</v>
      </c>
      <c r="C62" t="str">
        <f>"016360"</f>
        <v>016360</v>
      </c>
      <c r="D62" t="s">
        <v>87</v>
      </c>
      <c r="E62">
        <v>29826</v>
      </c>
      <c r="F62">
        <v>0</v>
      </c>
      <c r="G62">
        <v>0</v>
      </c>
    </row>
    <row r="63" spans="1:7">
      <c r="A63" t="str">
        <f t="shared" si="4"/>
        <v>430</v>
      </c>
      <c r="B63" t="s">
        <v>83</v>
      </c>
      <c r="C63" t="str">
        <f>"003470"</f>
        <v>003470</v>
      </c>
      <c r="D63" t="s">
        <v>88</v>
      </c>
      <c r="E63">
        <v>4870</v>
      </c>
      <c r="F63">
        <v>0</v>
      </c>
      <c r="G63">
        <v>0</v>
      </c>
    </row>
    <row r="64" spans="1:7">
      <c r="A64" t="str">
        <f t="shared" si="4"/>
        <v>430</v>
      </c>
      <c r="B64" t="s">
        <v>83</v>
      </c>
      <c r="C64" t="str">
        <f>"001510"</f>
        <v>001510</v>
      </c>
      <c r="D64" t="s">
        <v>89</v>
      </c>
      <c r="E64">
        <v>2973</v>
      </c>
      <c r="F64">
        <v>0</v>
      </c>
      <c r="G64">
        <v>0</v>
      </c>
    </row>
    <row r="65" spans="1:7">
      <c r="A65" t="str">
        <f t="shared" si="4"/>
        <v>430</v>
      </c>
      <c r="B65" t="s">
        <v>83</v>
      </c>
      <c r="C65" t="str">
        <f>"003540"</f>
        <v>003540</v>
      </c>
      <c r="D65" t="s">
        <v>90</v>
      </c>
      <c r="E65">
        <v>6347</v>
      </c>
      <c r="F65">
        <v>0</v>
      </c>
      <c r="G65">
        <v>0</v>
      </c>
    </row>
    <row r="66" spans="1:7">
      <c r="A66" t="str">
        <f t="shared" si="4"/>
        <v>430</v>
      </c>
      <c r="B66" t="s">
        <v>83</v>
      </c>
      <c r="C66" t="str">
        <f>"039490"</f>
        <v>039490</v>
      </c>
      <c r="D66" t="s">
        <v>91</v>
      </c>
      <c r="E66">
        <v>23702</v>
      </c>
      <c r="F66">
        <v>0</v>
      </c>
      <c r="G66">
        <v>0</v>
      </c>
    </row>
    <row r="67" spans="1:7">
      <c r="A67" t="str">
        <f t="shared" si="4"/>
        <v>430</v>
      </c>
      <c r="B67" t="s">
        <v>83</v>
      </c>
      <c r="C67" t="str">
        <f>"001750"</f>
        <v>001750</v>
      </c>
      <c r="D67" t="s">
        <v>92</v>
      </c>
      <c r="E67">
        <v>1069</v>
      </c>
      <c r="F67">
        <v>0</v>
      </c>
      <c r="G67">
        <v>0</v>
      </c>
    </row>
    <row r="68" spans="1:7">
      <c r="A68" t="str">
        <f t="shared" si="4"/>
        <v>430</v>
      </c>
      <c r="B68" t="s">
        <v>83</v>
      </c>
      <c r="C68" t="str">
        <f>"030610"</f>
        <v>030610</v>
      </c>
      <c r="D68" t="s">
        <v>93</v>
      </c>
      <c r="E68">
        <v>3478</v>
      </c>
      <c r="F68">
        <v>0</v>
      </c>
      <c r="G68">
        <v>0</v>
      </c>
    </row>
    <row r="69" spans="1:7">
      <c r="A69" t="str">
        <f t="shared" si="4"/>
        <v>430</v>
      </c>
      <c r="B69" t="s">
        <v>83</v>
      </c>
      <c r="C69" t="str">
        <f>"005940"</f>
        <v>005940</v>
      </c>
      <c r="D69" t="s">
        <v>94</v>
      </c>
      <c r="E69">
        <v>29817</v>
      </c>
      <c r="F69">
        <v>0</v>
      </c>
      <c r="G69">
        <v>0</v>
      </c>
    </row>
    <row r="70" spans="1:7">
      <c r="A70" t="str">
        <f t="shared" si="4"/>
        <v>430</v>
      </c>
      <c r="B70" t="s">
        <v>83</v>
      </c>
      <c r="C70" t="str">
        <f>"001500"</f>
        <v>001500</v>
      </c>
      <c r="D70" t="s">
        <v>95</v>
      </c>
      <c r="E70">
        <v>2854</v>
      </c>
      <c r="F70">
        <v>0</v>
      </c>
      <c r="G70">
        <v>0</v>
      </c>
    </row>
    <row r="71" spans="1:7">
      <c r="A71" t="str">
        <f t="shared" si="4"/>
        <v>430</v>
      </c>
      <c r="B71" t="s">
        <v>83</v>
      </c>
      <c r="C71" t="str">
        <f>"078020"</f>
        <v>078020</v>
      </c>
      <c r="D71" t="s">
        <v>96</v>
      </c>
      <c r="E71">
        <v>2757</v>
      </c>
      <c r="F71">
        <v>0</v>
      </c>
      <c r="G71">
        <v>0</v>
      </c>
    </row>
    <row r="72" spans="1:7">
      <c r="A72" t="str">
        <f t="shared" si="4"/>
        <v>430</v>
      </c>
      <c r="B72" t="s">
        <v>83</v>
      </c>
      <c r="C72" t="str">
        <f>"016610"</f>
        <v>016610</v>
      </c>
      <c r="D72" t="s">
        <v>97</v>
      </c>
      <c r="E72">
        <v>1749</v>
      </c>
      <c r="F72">
        <v>0</v>
      </c>
      <c r="G72">
        <v>0</v>
      </c>
    </row>
    <row r="73" spans="1:7">
      <c r="A73" t="str">
        <f t="shared" si="4"/>
        <v>430</v>
      </c>
      <c r="B73" t="s">
        <v>83</v>
      </c>
      <c r="C73" t="str">
        <f>"003460"</f>
        <v>003460</v>
      </c>
      <c r="D73" t="s">
        <v>98</v>
      </c>
      <c r="E73">
        <v>1259</v>
      </c>
      <c r="F73">
        <v>0</v>
      </c>
      <c r="G73">
        <v>0</v>
      </c>
    </row>
    <row r="74" spans="1:7">
      <c r="A74" t="str">
        <f t="shared" si="4"/>
        <v>430</v>
      </c>
      <c r="B74" t="s">
        <v>83</v>
      </c>
      <c r="C74" t="str">
        <f>"001720"</f>
        <v>001720</v>
      </c>
      <c r="D74" t="s">
        <v>99</v>
      </c>
      <c r="E74">
        <v>5360</v>
      </c>
      <c r="F74">
        <v>0</v>
      </c>
      <c r="G74">
        <v>0</v>
      </c>
    </row>
    <row r="75" spans="1:7">
      <c r="A75" t="str">
        <f t="shared" si="4"/>
        <v>430</v>
      </c>
      <c r="B75" t="s">
        <v>83</v>
      </c>
      <c r="C75" t="str">
        <f>"001270"</f>
        <v>001270</v>
      </c>
      <c r="D75" t="s">
        <v>100</v>
      </c>
      <c r="E75">
        <v>1893</v>
      </c>
      <c r="F75">
        <v>0</v>
      </c>
      <c r="G75">
        <v>0</v>
      </c>
    </row>
    <row r="76" spans="1:7">
      <c r="A76" t="str">
        <f t="shared" si="4"/>
        <v>430</v>
      </c>
      <c r="B76" t="s">
        <v>83</v>
      </c>
      <c r="C76" t="str">
        <f>"008560"</f>
        <v>008560</v>
      </c>
      <c r="D76" t="s">
        <v>101</v>
      </c>
      <c r="E76">
        <v>36656</v>
      </c>
      <c r="F76">
        <v>0</v>
      </c>
      <c r="G76">
        <v>0</v>
      </c>
    </row>
    <row r="77" spans="1:7">
      <c r="A77" t="str">
        <f>"250"</f>
        <v>250</v>
      </c>
      <c r="B77" t="s">
        <v>102</v>
      </c>
      <c r="C77" t="str">
        <f>"079430"</f>
        <v>079430</v>
      </c>
      <c r="D77" t="s">
        <v>103</v>
      </c>
      <c r="E77">
        <v>1895</v>
      </c>
      <c r="F77">
        <v>0</v>
      </c>
      <c r="G77">
        <v>0</v>
      </c>
    </row>
    <row r="78" spans="1:7">
      <c r="A78" t="str">
        <f>"250"</f>
        <v>250</v>
      </c>
      <c r="B78" t="s">
        <v>102</v>
      </c>
      <c r="C78" t="str">
        <f>"009240"</f>
        <v>009240</v>
      </c>
      <c r="D78" t="s">
        <v>104</v>
      </c>
      <c r="E78">
        <v>10437</v>
      </c>
      <c r="F78">
        <v>0</v>
      </c>
      <c r="G78">
        <v>0</v>
      </c>
    </row>
    <row r="79" spans="1:7">
      <c r="A79" t="str">
        <f>"250"</f>
        <v>250</v>
      </c>
      <c r="B79" t="s">
        <v>102</v>
      </c>
      <c r="C79" t="str">
        <f>"016800"</f>
        <v>016800</v>
      </c>
      <c r="D79" t="s">
        <v>105</v>
      </c>
      <c r="E79">
        <v>3427</v>
      </c>
      <c r="F79">
        <v>0</v>
      </c>
      <c r="G79">
        <v>0</v>
      </c>
    </row>
    <row r="80" spans="1:7">
      <c r="A80" t="str">
        <f>"262"</f>
        <v>262</v>
      </c>
      <c r="B80" t="s">
        <v>106</v>
      </c>
      <c r="C80" t="str">
        <f>"024950"</f>
        <v>024950</v>
      </c>
      <c r="D80" t="s">
        <v>107</v>
      </c>
      <c r="E80">
        <v>1015</v>
      </c>
      <c r="F80">
        <v>0</v>
      </c>
      <c r="G80">
        <v>0</v>
      </c>
    </row>
    <row r="81" spans="1:7">
      <c r="A81" t="str">
        <f>"262"</f>
        <v>262</v>
      </c>
      <c r="B81" t="s">
        <v>106</v>
      </c>
      <c r="C81" t="str">
        <f>"123750"</f>
        <v>123750</v>
      </c>
      <c r="D81" t="s">
        <v>108</v>
      </c>
      <c r="E81">
        <v>538</v>
      </c>
      <c r="F81">
        <v>0</v>
      </c>
      <c r="G81">
        <v>0</v>
      </c>
    </row>
    <row r="82" spans="1:7">
      <c r="A82" t="str">
        <f>"160"</f>
        <v>160</v>
      </c>
      <c r="B82" t="s">
        <v>109</v>
      </c>
      <c r="C82" t="str">
        <f>"071670"</f>
        <v>071670</v>
      </c>
      <c r="D82" t="s">
        <v>110</v>
      </c>
      <c r="E82">
        <v>897</v>
      </c>
      <c r="F82">
        <v>0</v>
      </c>
      <c r="G82">
        <v>0</v>
      </c>
    </row>
    <row r="83" spans="1:7">
      <c r="A83" t="str">
        <f>"160"</f>
        <v>160</v>
      </c>
      <c r="B83" t="s">
        <v>109</v>
      </c>
      <c r="C83" t="str">
        <f>"049800"</f>
        <v>049800</v>
      </c>
      <c r="D83" t="s">
        <v>111</v>
      </c>
      <c r="E83">
        <v>719</v>
      </c>
      <c r="F83">
        <v>0</v>
      </c>
      <c r="G83">
        <v>0</v>
      </c>
    </row>
    <row r="84" spans="1:7">
      <c r="A84" t="str">
        <f>"160"</f>
        <v>160</v>
      </c>
      <c r="B84" t="s">
        <v>109</v>
      </c>
      <c r="C84" t="str">
        <f>"044180"</f>
        <v>044180</v>
      </c>
      <c r="D84" t="s">
        <v>112</v>
      </c>
      <c r="E84">
        <v>184</v>
      </c>
      <c r="F84">
        <v>0</v>
      </c>
      <c r="G84">
        <v>0</v>
      </c>
    </row>
    <row r="85" spans="1:7">
      <c r="A85" t="str">
        <f>"160"</f>
        <v>160</v>
      </c>
      <c r="B85" t="s">
        <v>109</v>
      </c>
      <c r="C85" t="str">
        <f>"092440"</f>
        <v>092440</v>
      </c>
      <c r="D85" t="s">
        <v>113</v>
      </c>
      <c r="E85">
        <v>990</v>
      </c>
      <c r="F85">
        <v>0</v>
      </c>
      <c r="G85">
        <v>0</v>
      </c>
    </row>
    <row r="86" spans="1:7">
      <c r="A86" t="str">
        <f t="shared" ref="A86:A94" si="5">"510"</f>
        <v>510</v>
      </c>
      <c r="B86" t="s">
        <v>114</v>
      </c>
      <c r="C86" t="str">
        <f>"043260"</f>
        <v>043260</v>
      </c>
      <c r="D86" t="s">
        <v>115</v>
      </c>
      <c r="E86">
        <v>662</v>
      </c>
      <c r="F86">
        <v>0</v>
      </c>
      <c r="G86">
        <v>0</v>
      </c>
    </row>
    <row r="87" spans="1:7">
      <c r="A87" t="str">
        <f t="shared" si="5"/>
        <v>510</v>
      </c>
      <c r="B87" t="s">
        <v>114</v>
      </c>
      <c r="C87" t="str">
        <f>"014910"</f>
        <v>014910</v>
      </c>
      <c r="D87" t="s">
        <v>116</v>
      </c>
      <c r="E87">
        <v>323</v>
      </c>
      <c r="F87">
        <v>0</v>
      </c>
      <c r="G87">
        <v>0</v>
      </c>
    </row>
    <row r="88" spans="1:7">
      <c r="A88" t="str">
        <f t="shared" si="5"/>
        <v>510</v>
      </c>
      <c r="B88" t="s">
        <v>114</v>
      </c>
      <c r="C88" t="str">
        <f>"012340"</f>
        <v>012340</v>
      </c>
      <c r="D88" t="s">
        <v>117</v>
      </c>
      <c r="E88">
        <v>786</v>
      </c>
      <c r="F88">
        <v>0</v>
      </c>
      <c r="G88">
        <v>0</v>
      </c>
    </row>
    <row r="89" spans="1:7">
      <c r="A89" t="str">
        <f t="shared" si="5"/>
        <v>510</v>
      </c>
      <c r="B89" t="s">
        <v>114</v>
      </c>
      <c r="C89" t="str">
        <f>"001820"</f>
        <v>001820</v>
      </c>
      <c r="D89" t="s">
        <v>118</v>
      </c>
      <c r="E89">
        <v>3649</v>
      </c>
      <c r="F89">
        <v>0</v>
      </c>
      <c r="G89">
        <v>0</v>
      </c>
    </row>
    <row r="90" spans="1:7">
      <c r="A90" t="str">
        <f t="shared" si="5"/>
        <v>510</v>
      </c>
      <c r="B90" t="s">
        <v>114</v>
      </c>
      <c r="C90" t="str">
        <f>"091700"</f>
        <v>091700</v>
      </c>
      <c r="D90" t="s">
        <v>119</v>
      </c>
      <c r="E90">
        <v>4790</v>
      </c>
      <c r="F90">
        <v>0</v>
      </c>
      <c r="G90">
        <v>0</v>
      </c>
    </row>
    <row r="91" spans="1:7">
      <c r="A91" t="str">
        <f t="shared" si="5"/>
        <v>510</v>
      </c>
      <c r="B91" t="s">
        <v>114</v>
      </c>
      <c r="C91" t="str">
        <f>"033290"</f>
        <v>033290</v>
      </c>
      <c r="D91" t="s">
        <v>120</v>
      </c>
      <c r="E91">
        <v>3987</v>
      </c>
      <c r="F91">
        <v>0</v>
      </c>
      <c r="G91">
        <v>0</v>
      </c>
    </row>
    <row r="92" spans="1:7">
      <c r="A92" t="str">
        <f t="shared" si="5"/>
        <v>510</v>
      </c>
      <c r="B92" t="s">
        <v>114</v>
      </c>
      <c r="C92" t="str">
        <f>"009470"</f>
        <v>009470</v>
      </c>
      <c r="D92" t="s">
        <v>121</v>
      </c>
      <c r="E92">
        <v>919</v>
      </c>
      <c r="F92">
        <v>0</v>
      </c>
      <c r="G92">
        <v>0</v>
      </c>
    </row>
    <row r="93" spans="1:7">
      <c r="A93" t="str">
        <f t="shared" si="5"/>
        <v>510</v>
      </c>
      <c r="B93" t="s">
        <v>114</v>
      </c>
      <c r="C93" t="str">
        <f>"005680"</f>
        <v>005680</v>
      </c>
      <c r="D93" t="s">
        <v>122</v>
      </c>
      <c r="E93">
        <v>1850</v>
      </c>
      <c r="F93">
        <v>0</v>
      </c>
      <c r="G93">
        <v>0</v>
      </c>
    </row>
    <row r="94" spans="1:7">
      <c r="A94" t="str">
        <f t="shared" si="5"/>
        <v>510</v>
      </c>
      <c r="B94" t="s">
        <v>114</v>
      </c>
      <c r="C94" t="str">
        <f>"052710"</f>
        <v>052710</v>
      </c>
      <c r="D94" t="s">
        <v>123</v>
      </c>
      <c r="E94">
        <v>2626</v>
      </c>
      <c r="F94">
        <v>0</v>
      </c>
      <c r="G94">
        <v>0</v>
      </c>
    </row>
    <row r="95" spans="1:7">
      <c r="A95" t="str">
        <f t="shared" ref="A95:A100" si="6">"554"</f>
        <v>554</v>
      </c>
      <c r="B95" t="s">
        <v>124</v>
      </c>
      <c r="C95" t="str">
        <f>"077360"</f>
        <v>077360</v>
      </c>
      <c r="D95" t="s">
        <v>125</v>
      </c>
      <c r="E95">
        <v>2281</v>
      </c>
      <c r="F95">
        <v>0</v>
      </c>
      <c r="G95">
        <v>0</v>
      </c>
    </row>
    <row r="96" spans="1:7">
      <c r="A96" t="str">
        <f t="shared" si="6"/>
        <v>554</v>
      </c>
      <c r="B96" t="s">
        <v>124</v>
      </c>
      <c r="C96" t="str">
        <f>"098120"</f>
        <v>098120</v>
      </c>
      <c r="D96" t="s">
        <v>126</v>
      </c>
      <c r="E96">
        <v>461</v>
      </c>
      <c r="F96">
        <v>0</v>
      </c>
      <c r="G96">
        <v>0</v>
      </c>
    </row>
    <row r="97" spans="1:9">
      <c r="A97" t="str">
        <f t="shared" si="6"/>
        <v>554</v>
      </c>
      <c r="B97" t="s">
        <v>124</v>
      </c>
      <c r="C97" t="str">
        <f>"008060"</f>
        <v>008060</v>
      </c>
      <c r="D97" t="s">
        <v>127</v>
      </c>
      <c r="E97">
        <v>2091</v>
      </c>
      <c r="F97">
        <v>0</v>
      </c>
      <c r="G97">
        <v>0</v>
      </c>
    </row>
    <row r="98" spans="1:9">
      <c r="A98" t="str">
        <f t="shared" si="6"/>
        <v>554</v>
      </c>
      <c r="B98" t="s">
        <v>124</v>
      </c>
      <c r="C98" t="str">
        <f>"033160"</f>
        <v>033160</v>
      </c>
      <c r="D98" t="s">
        <v>128</v>
      </c>
      <c r="E98">
        <v>2530</v>
      </c>
      <c r="F98">
        <v>0</v>
      </c>
      <c r="G98">
        <v>0</v>
      </c>
    </row>
    <row r="99" spans="1:9">
      <c r="A99" t="str">
        <f t="shared" si="6"/>
        <v>554</v>
      </c>
      <c r="B99" t="s">
        <v>124</v>
      </c>
      <c r="C99" t="str">
        <f>"036710"</f>
        <v>036710</v>
      </c>
      <c r="D99" t="s">
        <v>129</v>
      </c>
      <c r="E99">
        <v>1419</v>
      </c>
      <c r="F99">
        <v>0</v>
      </c>
      <c r="G99">
        <v>0</v>
      </c>
    </row>
    <row r="100" spans="1:9">
      <c r="A100" t="str">
        <f t="shared" si="6"/>
        <v>554</v>
      </c>
      <c r="B100" t="s">
        <v>124</v>
      </c>
      <c r="C100" t="str">
        <f>"007810"</f>
        <v>007810</v>
      </c>
      <c r="D100" t="s">
        <v>130</v>
      </c>
      <c r="E100">
        <v>3083</v>
      </c>
      <c r="F100">
        <v>0</v>
      </c>
      <c r="G100">
        <v>0</v>
      </c>
    </row>
    <row r="101" spans="1:9">
      <c r="A101" t="str">
        <f t="shared" ref="A101:A106" si="7">"181"</f>
        <v>181</v>
      </c>
      <c r="B101" t="s">
        <v>131</v>
      </c>
      <c r="C101" t="str">
        <f>"001020"</f>
        <v>001020</v>
      </c>
      <c r="D101" t="s">
        <v>132</v>
      </c>
      <c r="E101">
        <v>571</v>
      </c>
      <c r="F101">
        <v>0</v>
      </c>
      <c r="G101">
        <v>0</v>
      </c>
    </row>
    <row r="102" spans="1:9">
      <c r="A102" t="str">
        <f t="shared" si="7"/>
        <v>181</v>
      </c>
      <c r="B102" t="s">
        <v>131</v>
      </c>
      <c r="C102" t="str">
        <f>"004150"</f>
        <v>004150</v>
      </c>
      <c r="D102" t="s">
        <v>133</v>
      </c>
      <c r="E102">
        <v>1401</v>
      </c>
      <c r="F102">
        <v>0</v>
      </c>
      <c r="G102">
        <v>0</v>
      </c>
    </row>
    <row r="103" spans="1:9">
      <c r="A103" t="str">
        <f t="shared" si="7"/>
        <v>181</v>
      </c>
      <c r="B103" t="s">
        <v>131</v>
      </c>
      <c r="C103" t="str">
        <f>"002870"</f>
        <v>002870</v>
      </c>
      <c r="D103" t="s">
        <v>134</v>
      </c>
      <c r="E103">
        <v>378</v>
      </c>
      <c r="F103">
        <v>0</v>
      </c>
      <c r="G103">
        <v>0</v>
      </c>
    </row>
    <row r="104" spans="1:9">
      <c r="A104" t="str">
        <f t="shared" si="7"/>
        <v>181</v>
      </c>
      <c r="B104" t="s">
        <v>131</v>
      </c>
      <c r="C104" t="str">
        <f>"009200"</f>
        <v>009200</v>
      </c>
      <c r="D104" t="s">
        <v>135</v>
      </c>
      <c r="E104">
        <v>1003</v>
      </c>
      <c r="F104">
        <v>0</v>
      </c>
      <c r="G104">
        <v>0</v>
      </c>
    </row>
    <row r="105" spans="1:9">
      <c r="A105" t="str">
        <f t="shared" si="7"/>
        <v>181</v>
      </c>
      <c r="B105" t="s">
        <v>131</v>
      </c>
      <c r="C105" t="str">
        <f>"004540"</f>
        <v>004540</v>
      </c>
      <c r="D105" t="s">
        <v>136</v>
      </c>
      <c r="E105">
        <v>1030</v>
      </c>
      <c r="F105">
        <v>0</v>
      </c>
      <c r="G105">
        <v>0</v>
      </c>
    </row>
    <row r="106" spans="1:9">
      <c r="A106" t="str">
        <f t="shared" si="7"/>
        <v>181</v>
      </c>
      <c r="B106" t="s">
        <v>131</v>
      </c>
      <c r="C106" t="str">
        <f>"078130"</f>
        <v>078130</v>
      </c>
      <c r="D106" t="s">
        <v>137</v>
      </c>
      <c r="E106">
        <v>2808</v>
      </c>
      <c r="F106">
        <v>0</v>
      </c>
      <c r="G106">
        <v>0</v>
      </c>
    </row>
    <row r="107" spans="1:9">
      <c r="A107" t="str">
        <f>"200"</f>
        <v>200</v>
      </c>
      <c r="B107" t="s">
        <v>138</v>
      </c>
      <c r="C107" t="str">
        <f>"006360"</f>
        <v>006360</v>
      </c>
      <c r="D107" t="s">
        <v>139</v>
      </c>
      <c r="E107">
        <v>18272</v>
      </c>
      <c r="F107">
        <v>0</v>
      </c>
      <c r="G107">
        <v>0</v>
      </c>
    </row>
    <row r="108" spans="1:9">
      <c r="A108" t="str">
        <f>"200"</f>
        <v>200</v>
      </c>
      <c r="B108" t="s">
        <v>138</v>
      </c>
      <c r="C108" t="str">
        <f>"028050"</f>
        <v>028050</v>
      </c>
      <c r="D108" t="s">
        <v>140</v>
      </c>
      <c r="E108">
        <v>44884</v>
      </c>
      <c r="F108">
        <v>0</v>
      </c>
      <c r="G108">
        <v>0</v>
      </c>
    </row>
    <row r="109" spans="1:9">
      <c r="A109" t="str">
        <f>"200"</f>
        <v>200</v>
      </c>
      <c r="B109" t="s">
        <v>138</v>
      </c>
      <c r="C109" t="str">
        <f>"000210"</f>
        <v>000210</v>
      </c>
      <c r="D109" t="s">
        <v>141</v>
      </c>
      <c r="E109">
        <v>12175</v>
      </c>
      <c r="F109">
        <v>0</v>
      </c>
      <c r="G109">
        <v>0</v>
      </c>
    </row>
    <row r="110" spans="1:9" ht="82.5">
      <c r="A110" t="str">
        <f>"200"</f>
        <v>200</v>
      </c>
      <c r="B110" t="s">
        <v>138</v>
      </c>
      <c r="C110" t="str">
        <f>"047040"</f>
        <v>047040</v>
      </c>
      <c r="D110" t="s">
        <v>53</v>
      </c>
      <c r="E110">
        <v>17124</v>
      </c>
      <c r="F110">
        <v>0</v>
      </c>
      <c r="G110">
        <v>0</v>
      </c>
      <c r="H110" s="1" t="s">
        <v>54</v>
      </c>
      <c r="I110" t="s">
        <v>12</v>
      </c>
    </row>
    <row r="111" spans="1:9">
      <c r="A111" t="str">
        <f>"200"</f>
        <v>200</v>
      </c>
      <c r="B111" t="s">
        <v>138</v>
      </c>
      <c r="C111" t="str">
        <f>"000720"</f>
        <v>000720</v>
      </c>
      <c r="D111" t="s">
        <v>142</v>
      </c>
      <c r="E111">
        <v>39810</v>
      </c>
      <c r="F111">
        <v>0</v>
      </c>
      <c r="G111">
        <v>0</v>
      </c>
    </row>
    <row r="112" spans="1:9">
      <c r="A112" t="str">
        <f t="shared" ref="A112:A118" si="8">"556"</f>
        <v>556</v>
      </c>
      <c r="B112" t="s">
        <v>143</v>
      </c>
      <c r="C112" t="str">
        <f>"036830"</f>
        <v>036830</v>
      </c>
      <c r="D112" t="s">
        <v>144</v>
      </c>
      <c r="E112">
        <v>5210</v>
      </c>
      <c r="F112">
        <v>0</v>
      </c>
      <c r="G112">
        <v>0</v>
      </c>
    </row>
    <row r="113" spans="1:7">
      <c r="A113" t="str">
        <f t="shared" si="8"/>
        <v>556</v>
      </c>
      <c r="B113" t="s">
        <v>143</v>
      </c>
      <c r="C113" t="str">
        <f>"036830"</f>
        <v>036830</v>
      </c>
      <c r="D113" t="s">
        <v>144</v>
      </c>
      <c r="E113">
        <v>5210</v>
      </c>
      <c r="F113">
        <v>0</v>
      </c>
      <c r="G113">
        <v>0</v>
      </c>
    </row>
    <row r="114" spans="1:7">
      <c r="A114" t="str">
        <f t="shared" si="8"/>
        <v>556</v>
      </c>
      <c r="B114" t="s">
        <v>143</v>
      </c>
      <c r="C114" t="str">
        <f>"104830"</f>
        <v>104830</v>
      </c>
      <c r="D114" t="s">
        <v>145</v>
      </c>
      <c r="E114">
        <v>3707</v>
      </c>
      <c r="F114">
        <v>0</v>
      </c>
      <c r="G114">
        <v>0</v>
      </c>
    </row>
    <row r="115" spans="1:7">
      <c r="A115" t="str">
        <f t="shared" si="8"/>
        <v>556</v>
      </c>
      <c r="B115" t="s">
        <v>143</v>
      </c>
      <c r="C115" t="str">
        <f>"102710"</f>
        <v>102710</v>
      </c>
      <c r="D115" t="s">
        <v>146</v>
      </c>
      <c r="E115">
        <v>2950</v>
      </c>
      <c r="F115">
        <v>0</v>
      </c>
      <c r="G115">
        <v>0</v>
      </c>
    </row>
    <row r="116" spans="1:7">
      <c r="A116" t="str">
        <f t="shared" si="8"/>
        <v>556</v>
      </c>
      <c r="B116" t="s">
        <v>143</v>
      </c>
      <c r="C116" t="str">
        <f>"005290"</f>
        <v>005290</v>
      </c>
      <c r="D116" t="s">
        <v>147</v>
      </c>
      <c r="E116">
        <v>16144</v>
      </c>
      <c r="F116">
        <v>0</v>
      </c>
      <c r="G116">
        <v>0</v>
      </c>
    </row>
    <row r="117" spans="1:7">
      <c r="A117" t="str">
        <f t="shared" si="8"/>
        <v>556</v>
      </c>
      <c r="B117" t="s">
        <v>143</v>
      </c>
      <c r="C117" t="str">
        <f>"092070"</f>
        <v>092070</v>
      </c>
      <c r="D117" t="s">
        <v>148</v>
      </c>
      <c r="E117">
        <v>1533</v>
      </c>
      <c r="F117">
        <v>0</v>
      </c>
      <c r="G117">
        <v>0</v>
      </c>
    </row>
    <row r="118" spans="1:7">
      <c r="A118" t="str">
        <f t="shared" si="8"/>
        <v>556</v>
      </c>
      <c r="B118" t="s">
        <v>143</v>
      </c>
      <c r="C118" t="str">
        <f>"074600"</f>
        <v>074600</v>
      </c>
      <c r="D118" t="s">
        <v>149</v>
      </c>
      <c r="E118">
        <v>6611</v>
      </c>
      <c r="F118">
        <v>0</v>
      </c>
      <c r="G118">
        <v>0</v>
      </c>
    </row>
    <row r="119" spans="1:7">
      <c r="A119" t="str">
        <f>"455"</f>
        <v>455</v>
      </c>
      <c r="B119" t="s">
        <v>150</v>
      </c>
      <c r="C119" t="str">
        <f>"080010"</f>
        <v>080010</v>
      </c>
      <c r="D119" t="s">
        <v>151</v>
      </c>
      <c r="E119">
        <v>541</v>
      </c>
      <c r="F119">
        <v>0</v>
      </c>
      <c r="G119">
        <v>0</v>
      </c>
    </row>
    <row r="120" spans="1:7">
      <c r="A120" t="str">
        <f>"455"</f>
        <v>455</v>
      </c>
      <c r="B120" t="s">
        <v>150</v>
      </c>
      <c r="C120" t="str">
        <f>"122900"</f>
        <v>122900</v>
      </c>
      <c r="D120" t="s">
        <v>152</v>
      </c>
      <c r="E120">
        <v>3376</v>
      </c>
      <c r="F120">
        <v>0</v>
      </c>
      <c r="G120">
        <v>0</v>
      </c>
    </row>
    <row r="121" spans="1:7">
      <c r="A121" t="str">
        <f>"455"</f>
        <v>455</v>
      </c>
      <c r="B121" t="s">
        <v>150</v>
      </c>
      <c r="C121" t="str">
        <f>"092130"</f>
        <v>092130</v>
      </c>
      <c r="D121" t="s">
        <v>153</v>
      </c>
      <c r="E121">
        <v>1975</v>
      </c>
      <c r="F121">
        <v>0</v>
      </c>
      <c r="G121">
        <v>0</v>
      </c>
    </row>
    <row r="122" spans="1:7">
      <c r="A122" t="str">
        <f t="shared" ref="A122:A130" si="9">"557"</f>
        <v>557</v>
      </c>
      <c r="B122" t="s">
        <v>154</v>
      </c>
      <c r="C122" t="str">
        <f>"098460"</f>
        <v>098460</v>
      </c>
      <c r="D122" t="s">
        <v>155</v>
      </c>
      <c r="E122">
        <v>9028</v>
      </c>
      <c r="F122">
        <v>0</v>
      </c>
      <c r="G122">
        <v>0</v>
      </c>
    </row>
    <row r="123" spans="1:7">
      <c r="A123" t="str">
        <f t="shared" si="9"/>
        <v>557</v>
      </c>
      <c r="B123" t="s">
        <v>154</v>
      </c>
      <c r="C123" t="str">
        <f>"038880"</f>
        <v>038880</v>
      </c>
      <c r="D123" t="s">
        <v>156</v>
      </c>
      <c r="E123">
        <v>1839</v>
      </c>
      <c r="F123">
        <v>0</v>
      </c>
      <c r="G123">
        <v>0</v>
      </c>
    </row>
    <row r="124" spans="1:7">
      <c r="A124" t="str">
        <f t="shared" si="9"/>
        <v>557</v>
      </c>
      <c r="B124" t="s">
        <v>154</v>
      </c>
      <c r="C124" t="str">
        <f>"000990"</f>
        <v>000990</v>
      </c>
      <c r="D124" t="s">
        <v>35</v>
      </c>
      <c r="E124">
        <v>17582</v>
      </c>
      <c r="F124">
        <v>0</v>
      </c>
      <c r="G124">
        <v>0</v>
      </c>
    </row>
    <row r="125" spans="1:7">
      <c r="A125" t="str">
        <f t="shared" si="9"/>
        <v>557</v>
      </c>
      <c r="B125" t="s">
        <v>154</v>
      </c>
      <c r="C125" t="str">
        <f>"036540"</f>
        <v>036540</v>
      </c>
      <c r="D125" t="s">
        <v>157</v>
      </c>
      <c r="E125">
        <v>6611</v>
      </c>
      <c r="F125">
        <v>0</v>
      </c>
      <c r="G125">
        <v>0</v>
      </c>
    </row>
    <row r="126" spans="1:7">
      <c r="A126" t="str">
        <f t="shared" si="9"/>
        <v>557</v>
      </c>
      <c r="B126" t="s">
        <v>154</v>
      </c>
      <c r="C126" t="str">
        <f>"067310"</f>
        <v>067310</v>
      </c>
      <c r="D126" t="s">
        <v>158</v>
      </c>
      <c r="E126">
        <v>4677</v>
      </c>
      <c r="F126">
        <v>0</v>
      </c>
      <c r="G126">
        <v>0</v>
      </c>
    </row>
    <row r="127" spans="1:7">
      <c r="A127" t="str">
        <f t="shared" si="9"/>
        <v>557</v>
      </c>
      <c r="B127" t="s">
        <v>154</v>
      </c>
      <c r="C127" t="str">
        <f>"033170"</f>
        <v>033170</v>
      </c>
      <c r="D127" t="s">
        <v>159</v>
      </c>
      <c r="E127">
        <v>922</v>
      </c>
      <c r="F127">
        <v>0</v>
      </c>
      <c r="G127">
        <v>0</v>
      </c>
    </row>
    <row r="128" spans="1:7">
      <c r="A128" t="str">
        <f t="shared" si="9"/>
        <v>557</v>
      </c>
      <c r="B128" t="s">
        <v>154</v>
      </c>
      <c r="C128" t="str">
        <f>"062860"</f>
        <v>062860</v>
      </c>
      <c r="D128" t="s">
        <v>160</v>
      </c>
      <c r="E128">
        <v>596</v>
      </c>
      <c r="F128">
        <v>0</v>
      </c>
      <c r="G128">
        <v>0</v>
      </c>
    </row>
    <row r="129" spans="1:7">
      <c r="A129" t="str">
        <f t="shared" si="9"/>
        <v>557</v>
      </c>
      <c r="B129" t="s">
        <v>154</v>
      </c>
      <c r="C129" t="str">
        <f>"033640"</f>
        <v>033640</v>
      </c>
      <c r="D129" t="s">
        <v>161</v>
      </c>
      <c r="E129">
        <v>3632</v>
      </c>
      <c r="F129">
        <v>0</v>
      </c>
      <c r="G129">
        <v>0</v>
      </c>
    </row>
    <row r="130" spans="1:7">
      <c r="A130" t="str">
        <f t="shared" si="9"/>
        <v>557</v>
      </c>
      <c r="B130" t="s">
        <v>154</v>
      </c>
      <c r="C130" t="str">
        <f>"108320"</f>
        <v>108320</v>
      </c>
      <c r="D130" t="s">
        <v>162</v>
      </c>
      <c r="E130">
        <v>11840</v>
      </c>
      <c r="F130">
        <v>0</v>
      </c>
      <c r="G130">
        <v>0</v>
      </c>
    </row>
    <row r="131" spans="1:7">
      <c r="A131" t="str">
        <f>"290"</f>
        <v>290</v>
      </c>
      <c r="B131" t="s">
        <v>163</v>
      </c>
      <c r="C131" t="str">
        <f>"004170"</f>
        <v>004170</v>
      </c>
      <c r="D131" t="s">
        <v>164</v>
      </c>
      <c r="E131">
        <v>22644</v>
      </c>
      <c r="F131">
        <v>0</v>
      </c>
      <c r="G131">
        <v>0</v>
      </c>
    </row>
    <row r="132" spans="1:7">
      <c r="A132" t="str">
        <f>"290"</f>
        <v>290</v>
      </c>
      <c r="B132" t="s">
        <v>163</v>
      </c>
      <c r="C132" t="str">
        <f>"037710"</f>
        <v>037710</v>
      </c>
      <c r="D132" t="s">
        <v>165</v>
      </c>
      <c r="E132">
        <v>2716</v>
      </c>
      <c r="F132">
        <v>0</v>
      </c>
      <c r="G132">
        <v>0</v>
      </c>
    </row>
    <row r="133" spans="1:7">
      <c r="A133" t="str">
        <f>"290"</f>
        <v>290</v>
      </c>
      <c r="B133" t="s">
        <v>163</v>
      </c>
      <c r="C133" t="str">
        <f>"069960"</f>
        <v>069960</v>
      </c>
      <c r="D133" t="s">
        <v>166</v>
      </c>
      <c r="E133">
        <v>14112</v>
      </c>
      <c r="F133">
        <v>0</v>
      </c>
      <c r="G133">
        <v>0</v>
      </c>
    </row>
    <row r="134" spans="1:7">
      <c r="A134" t="str">
        <f>"290"</f>
        <v>290</v>
      </c>
      <c r="B134" t="s">
        <v>163</v>
      </c>
      <c r="C134" t="str">
        <f>"006370"</f>
        <v>006370</v>
      </c>
      <c r="D134" t="s">
        <v>167</v>
      </c>
      <c r="E134">
        <v>1078</v>
      </c>
      <c r="F134">
        <v>0</v>
      </c>
      <c r="G134">
        <v>0</v>
      </c>
    </row>
    <row r="135" spans="1:7">
      <c r="A135" t="str">
        <f>"290"</f>
        <v>290</v>
      </c>
      <c r="B135" t="s">
        <v>163</v>
      </c>
      <c r="C135" t="str">
        <f>"023530"</f>
        <v>023530</v>
      </c>
      <c r="D135" t="s">
        <v>168</v>
      </c>
      <c r="E135">
        <v>26620</v>
      </c>
      <c r="F135">
        <v>0</v>
      </c>
      <c r="G135">
        <v>0</v>
      </c>
    </row>
    <row r="136" spans="1:7">
      <c r="A136" t="str">
        <f>"353"</f>
        <v>353</v>
      </c>
      <c r="B136" t="s">
        <v>169</v>
      </c>
      <c r="C136" t="str">
        <f>"032850"</f>
        <v>032850</v>
      </c>
      <c r="D136" t="s">
        <v>170</v>
      </c>
      <c r="E136">
        <v>1039</v>
      </c>
      <c r="F136">
        <v>0</v>
      </c>
      <c r="G136">
        <v>0</v>
      </c>
    </row>
    <row r="137" spans="1:7">
      <c r="A137" t="str">
        <f>"353"</f>
        <v>353</v>
      </c>
      <c r="B137" t="s">
        <v>169</v>
      </c>
      <c r="C137" t="str">
        <f>"032620"</f>
        <v>032620</v>
      </c>
      <c r="D137" t="s">
        <v>171</v>
      </c>
      <c r="E137">
        <v>2631</v>
      </c>
      <c r="F137">
        <v>0</v>
      </c>
      <c r="G137">
        <v>0</v>
      </c>
    </row>
    <row r="138" spans="1:7">
      <c r="A138" t="str">
        <f>"353"</f>
        <v>353</v>
      </c>
      <c r="B138" t="s">
        <v>169</v>
      </c>
      <c r="C138" t="str">
        <f>"071200"</f>
        <v>071200</v>
      </c>
      <c r="D138" t="s">
        <v>172</v>
      </c>
      <c r="E138">
        <v>1356</v>
      </c>
      <c r="F138">
        <v>0</v>
      </c>
      <c r="G138">
        <v>0</v>
      </c>
    </row>
    <row r="139" spans="1:7">
      <c r="A139" t="str">
        <f>"353"</f>
        <v>353</v>
      </c>
      <c r="B139" t="s">
        <v>169</v>
      </c>
      <c r="C139" t="str">
        <f>"115480"</f>
        <v>115480</v>
      </c>
      <c r="D139" t="s">
        <v>173</v>
      </c>
      <c r="E139">
        <v>581</v>
      </c>
      <c r="F139">
        <v>0</v>
      </c>
      <c r="G139">
        <v>0</v>
      </c>
    </row>
    <row r="140" spans="1:7">
      <c r="A140" t="str">
        <f>"353"</f>
        <v>353</v>
      </c>
      <c r="B140" t="s">
        <v>169</v>
      </c>
      <c r="C140" t="str">
        <f>"054950"</f>
        <v>054950</v>
      </c>
      <c r="D140" t="s">
        <v>174</v>
      </c>
      <c r="E140">
        <v>2503</v>
      </c>
      <c r="F140">
        <v>0</v>
      </c>
      <c r="G140">
        <v>0</v>
      </c>
    </row>
    <row r="141" spans="1:7">
      <c r="A141" t="str">
        <f>"561"</f>
        <v>561</v>
      </c>
      <c r="B141" t="s">
        <v>175</v>
      </c>
      <c r="C141" t="str">
        <f>"036830"</f>
        <v>036830</v>
      </c>
      <c r="D141" t="s">
        <v>144</v>
      </c>
      <c r="E141">
        <v>5210</v>
      </c>
      <c r="F141">
        <v>0</v>
      </c>
      <c r="G141">
        <v>0</v>
      </c>
    </row>
    <row r="142" spans="1:7">
      <c r="A142" t="str">
        <f>"561"</f>
        <v>561</v>
      </c>
      <c r="B142" t="s">
        <v>175</v>
      </c>
      <c r="C142" t="str">
        <f>"102710"</f>
        <v>102710</v>
      </c>
      <c r="D142" t="s">
        <v>146</v>
      </c>
      <c r="E142">
        <v>2950</v>
      </c>
      <c r="F142">
        <v>0</v>
      </c>
      <c r="G142">
        <v>0</v>
      </c>
    </row>
    <row r="143" spans="1:7">
      <c r="A143" t="str">
        <f>"561"</f>
        <v>561</v>
      </c>
      <c r="B143" t="s">
        <v>175</v>
      </c>
      <c r="C143" t="str">
        <f>"033640"</f>
        <v>033640</v>
      </c>
      <c r="D143" t="s">
        <v>161</v>
      </c>
      <c r="E143">
        <v>3632</v>
      </c>
      <c r="F143">
        <v>0</v>
      </c>
      <c r="G143">
        <v>0</v>
      </c>
    </row>
    <row r="144" spans="1:7">
      <c r="A144" t="str">
        <f>"561"</f>
        <v>561</v>
      </c>
      <c r="B144" t="s">
        <v>175</v>
      </c>
      <c r="C144" t="str">
        <f>"005290"</f>
        <v>005290</v>
      </c>
      <c r="D144" t="s">
        <v>147</v>
      </c>
      <c r="E144">
        <v>16144</v>
      </c>
      <c r="F144">
        <v>0</v>
      </c>
      <c r="G144">
        <v>0</v>
      </c>
    </row>
    <row r="145" spans="1:7">
      <c r="A145" t="str">
        <f>"242"</f>
        <v>242</v>
      </c>
      <c r="B145" t="s">
        <v>176</v>
      </c>
      <c r="C145" t="str">
        <f>"025440"</f>
        <v>025440</v>
      </c>
      <c r="D145" t="s">
        <v>177</v>
      </c>
      <c r="E145">
        <v>898</v>
      </c>
      <c r="F145">
        <v>0</v>
      </c>
      <c r="G145">
        <v>0</v>
      </c>
    </row>
    <row r="146" spans="1:7">
      <c r="A146" t="str">
        <f>"242"</f>
        <v>242</v>
      </c>
      <c r="B146" t="s">
        <v>176</v>
      </c>
      <c r="C146" t="str">
        <f>"084730"</f>
        <v>084730</v>
      </c>
      <c r="D146" t="s">
        <v>178</v>
      </c>
      <c r="E146">
        <v>1366</v>
      </c>
      <c r="F146">
        <v>0</v>
      </c>
      <c r="G146">
        <v>0</v>
      </c>
    </row>
    <row r="147" spans="1:7">
      <c r="A147" t="str">
        <f>"242"</f>
        <v>242</v>
      </c>
      <c r="B147" t="s">
        <v>176</v>
      </c>
      <c r="C147" t="str">
        <f>"038950"</f>
        <v>038950</v>
      </c>
      <c r="D147" t="s">
        <v>179</v>
      </c>
      <c r="E147">
        <v>462</v>
      </c>
      <c r="F147">
        <v>0</v>
      </c>
      <c r="G147">
        <v>0</v>
      </c>
    </row>
    <row r="148" spans="1:7">
      <c r="A148" t="str">
        <f t="shared" ref="A148:A155" si="10">"421"</f>
        <v>421</v>
      </c>
      <c r="B148" t="s">
        <v>180</v>
      </c>
      <c r="C148" t="str">
        <f>"000370"</f>
        <v>000370</v>
      </c>
      <c r="D148" t="s">
        <v>181</v>
      </c>
      <c r="E148">
        <v>5510</v>
      </c>
      <c r="F148">
        <v>0</v>
      </c>
      <c r="G148">
        <v>0</v>
      </c>
    </row>
    <row r="149" spans="1:7">
      <c r="A149" t="str">
        <f t="shared" si="10"/>
        <v>421</v>
      </c>
      <c r="B149" t="s">
        <v>180</v>
      </c>
      <c r="C149" t="str">
        <f>"003690"</f>
        <v>003690</v>
      </c>
      <c r="D149" t="s">
        <v>182</v>
      </c>
      <c r="E149">
        <v>10196</v>
      </c>
      <c r="F149">
        <v>0</v>
      </c>
      <c r="G149">
        <v>0</v>
      </c>
    </row>
    <row r="150" spans="1:7">
      <c r="A150" t="str">
        <f t="shared" si="10"/>
        <v>421</v>
      </c>
      <c r="B150" t="s">
        <v>180</v>
      </c>
      <c r="C150" t="str">
        <f>"001450"</f>
        <v>001450</v>
      </c>
      <c r="D150" t="s">
        <v>183</v>
      </c>
      <c r="E150">
        <v>26418</v>
      </c>
      <c r="F150">
        <v>0</v>
      </c>
      <c r="G150">
        <v>0</v>
      </c>
    </row>
    <row r="151" spans="1:7">
      <c r="A151" t="str">
        <f t="shared" si="10"/>
        <v>421</v>
      </c>
      <c r="B151" t="s">
        <v>180</v>
      </c>
      <c r="C151" t="str">
        <f>"000400"</f>
        <v>000400</v>
      </c>
      <c r="D151" t="s">
        <v>184</v>
      </c>
      <c r="E151">
        <v>4422</v>
      </c>
      <c r="F151">
        <v>0</v>
      </c>
      <c r="G151">
        <v>0</v>
      </c>
    </row>
    <row r="152" spans="1:7">
      <c r="A152" t="str">
        <f t="shared" si="10"/>
        <v>421</v>
      </c>
      <c r="B152" t="s">
        <v>180</v>
      </c>
      <c r="C152" t="str">
        <f>"000810"</f>
        <v>000810</v>
      </c>
      <c r="D152" t="s">
        <v>185</v>
      </c>
      <c r="E152">
        <v>92618</v>
      </c>
      <c r="F152">
        <v>0</v>
      </c>
      <c r="G152">
        <v>0</v>
      </c>
    </row>
    <row r="153" spans="1:7">
      <c r="A153" t="str">
        <f t="shared" si="10"/>
        <v>421</v>
      </c>
      <c r="B153" t="s">
        <v>180</v>
      </c>
      <c r="C153" t="str">
        <f>"005830"</f>
        <v>005830</v>
      </c>
      <c r="D153" t="s">
        <v>186</v>
      </c>
      <c r="E153">
        <v>45666</v>
      </c>
      <c r="F153">
        <v>0</v>
      </c>
      <c r="G153">
        <v>0</v>
      </c>
    </row>
    <row r="154" spans="1:7">
      <c r="A154" t="str">
        <f t="shared" si="10"/>
        <v>421</v>
      </c>
      <c r="B154" t="s">
        <v>180</v>
      </c>
      <c r="C154" t="str">
        <f>"000540"</f>
        <v>000540</v>
      </c>
      <c r="D154" t="s">
        <v>187</v>
      </c>
      <c r="E154">
        <v>2204</v>
      </c>
      <c r="F154">
        <v>0</v>
      </c>
      <c r="G154">
        <v>0</v>
      </c>
    </row>
    <row r="155" spans="1:7">
      <c r="A155" t="str">
        <f t="shared" si="10"/>
        <v>421</v>
      </c>
      <c r="B155" t="s">
        <v>180</v>
      </c>
      <c r="C155" t="str">
        <f>"000060"</f>
        <v>000060</v>
      </c>
      <c r="D155" t="s">
        <v>188</v>
      </c>
      <c r="E155">
        <v>51941</v>
      </c>
      <c r="F155">
        <v>0</v>
      </c>
      <c r="G155">
        <v>0</v>
      </c>
    </row>
    <row r="156" spans="1:7">
      <c r="A156" t="str">
        <f>"361"</f>
        <v>361</v>
      </c>
      <c r="B156" t="s">
        <v>189</v>
      </c>
      <c r="C156" t="str">
        <f>"085660"</f>
        <v>085660</v>
      </c>
      <c r="D156" t="s">
        <v>190</v>
      </c>
      <c r="E156">
        <v>7427</v>
      </c>
      <c r="F156">
        <v>0</v>
      </c>
      <c r="G156">
        <v>0</v>
      </c>
    </row>
    <row r="157" spans="1:7">
      <c r="A157" t="str">
        <f>"361"</f>
        <v>361</v>
      </c>
      <c r="B157" t="s">
        <v>189</v>
      </c>
      <c r="C157" t="str">
        <f>"078160"</f>
        <v>078160</v>
      </c>
      <c r="D157" t="s">
        <v>191</v>
      </c>
      <c r="E157">
        <v>2497</v>
      </c>
      <c r="F157">
        <v>0</v>
      </c>
      <c r="G157">
        <v>0</v>
      </c>
    </row>
    <row r="158" spans="1:7">
      <c r="A158" t="str">
        <f>"361"</f>
        <v>361</v>
      </c>
      <c r="B158" t="s">
        <v>189</v>
      </c>
      <c r="C158" t="str">
        <f>"005690"</f>
        <v>005690</v>
      </c>
      <c r="D158" t="s">
        <v>192</v>
      </c>
      <c r="E158">
        <v>6302</v>
      </c>
      <c r="F158">
        <v>0</v>
      </c>
      <c r="G158">
        <v>0</v>
      </c>
    </row>
    <row r="159" spans="1:7">
      <c r="A159" t="str">
        <f>"120"</f>
        <v>120</v>
      </c>
      <c r="B159" t="s">
        <v>193</v>
      </c>
      <c r="C159" t="str">
        <f>"100840"</f>
        <v>100840</v>
      </c>
      <c r="D159" t="s">
        <v>194</v>
      </c>
      <c r="E159">
        <v>1430</v>
      </c>
      <c r="F159">
        <v>0</v>
      </c>
      <c r="G159">
        <v>0</v>
      </c>
    </row>
    <row r="160" spans="1:7">
      <c r="A160" t="str">
        <f>"120"</f>
        <v>120</v>
      </c>
      <c r="B160" t="s">
        <v>193</v>
      </c>
      <c r="C160" t="str">
        <f>"083650"</f>
        <v>083650</v>
      </c>
      <c r="D160" t="s">
        <v>195</v>
      </c>
      <c r="E160">
        <v>1625</v>
      </c>
      <c r="F160">
        <v>0</v>
      </c>
      <c r="G160">
        <v>0</v>
      </c>
    </row>
    <row r="161" spans="1:7">
      <c r="A161" t="str">
        <f>"120"</f>
        <v>120</v>
      </c>
      <c r="B161" t="s">
        <v>193</v>
      </c>
      <c r="C161" t="str">
        <f>"015590"</f>
        <v>015590</v>
      </c>
      <c r="D161" t="s">
        <v>196</v>
      </c>
      <c r="E161">
        <v>777</v>
      </c>
      <c r="F161">
        <v>0</v>
      </c>
      <c r="G161">
        <v>0</v>
      </c>
    </row>
    <row r="162" spans="1:7">
      <c r="A162" t="str">
        <f t="shared" ref="A162:A169" si="11">"520"</f>
        <v>520</v>
      </c>
      <c r="B162" t="s">
        <v>197</v>
      </c>
      <c r="C162" t="str">
        <f>"097780"</f>
        <v>097780</v>
      </c>
      <c r="D162" t="s">
        <v>198</v>
      </c>
      <c r="E162">
        <v>811</v>
      </c>
      <c r="F162">
        <v>0</v>
      </c>
      <c r="G162">
        <v>0</v>
      </c>
    </row>
    <row r="163" spans="1:7">
      <c r="A163" t="str">
        <f t="shared" si="11"/>
        <v>520</v>
      </c>
      <c r="B163" t="s">
        <v>197</v>
      </c>
      <c r="C163" t="str">
        <f>"020760"</f>
        <v>020760</v>
      </c>
      <c r="D163" t="s">
        <v>199</v>
      </c>
      <c r="E163">
        <v>598</v>
      </c>
      <c r="F163">
        <v>0</v>
      </c>
      <c r="G163">
        <v>0</v>
      </c>
    </row>
    <row r="164" spans="1:7">
      <c r="A164" t="str">
        <f t="shared" si="11"/>
        <v>520</v>
      </c>
      <c r="B164" t="s">
        <v>197</v>
      </c>
      <c r="C164" t="str">
        <f>"041520"</f>
        <v>041520</v>
      </c>
      <c r="D164" t="s">
        <v>200</v>
      </c>
      <c r="E164">
        <v>597</v>
      </c>
      <c r="F164">
        <v>0</v>
      </c>
      <c r="G164">
        <v>0</v>
      </c>
    </row>
    <row r="165" spans="1:7">
      <c r="A165" t="str">
        <f t="shared" si="11"/>
        <v>520</v>
      </c>
      <c r="B165" t="s">
        <v>197</v>
      </c>
      <c r="C165" t="str">
        <f>"008060"</f>
        <v>008060</v>
      </c>
      <c r="D165" t="s">
        <v>127</v>
      </c>
      <c r="E165">
        <v>2091</v>
      </c>
      <c r="F165">
        <v>0</v>
      </c>
      <c r="G165">
        <v>0</v>
      </c>
    </row>
    <row r="166" spans="1:7">
      <c r="A166" t="str">
        <f t="shared" si="11"/>
        <v>520</v>
      </c>
      <c r="B166" t="s">
        <v>197</v>
      </c>
      <c r="C166" t="str">
        <f>"045970"</f>
        <v>045970</v>
      </c>
      <c r="D166" t="s">
        <v>201</v>
      </c>
      <c r="E166">
        <v>1303</v>
      </c>
      <c r="F166">
        <v>0</v>
      </c>
      <c r="G166">
        <v>0</v>
      </c>
    </row>
    <row r="167" spans="1:7">
      <c r="A167" t="str">
        <f t="shared" si="11"/>
        <v>520</v>
      </c>
      <c r="B167" t="s">
        <v>197</v>
      </c>
      <c r="C167" t="str">
        <f>"091700"</f>
        <v>091700</v>
      </c>
      <c r="D167" t="s">
        <v>119</v>
      </c>
      <c r="E167">
        <v>4790</v>
      </c>
      <c r="F167">
        <v>0</v>
      </c>
      <c r="G167">
        <v>0</v>
      </c>
    </row>
    <row r="168" spans="1:7">
      <c r="A168" t="str">
        <f t="shared" si="11"/>
        <v>520</v>
      </c>
      <c r="B168" t="s">
        <v>197</v>
      </c>
      <c r="C168" t="str">
        <f>"051370"</f>
        <v>051370</v>
      </c>
      <c r="D168" t="s">
        <v>202</v>
      </c>
      <c r="E168">
        <v>2155</v>
      </c>
      <c r="F168">
        <v>0</v>
      </c>
      <c r="G168">
        <v>0</v>
      </c>
    </row>
    <row r="169" spans="1:7">
      <c r="A169" t="str">
        <f t="shared" si="11"/>
        <v>520</v>
      </c>
      <c r="B169" t="s">
        <v>197</v>
      </c>
      <c r="C169" t="str">
        <f>"060720"</f>
        <v>060720</v>
      </c>
      <c r="D169" t="s">
        <v>203</v>
      </c>
      <c r="E169">
        <v>3185</v>
      </c>
      <c r="F169">
        <v>0</v>
      </c>
      <c r="G169">
        <v>0</v>
      </c>
    </row>
    <row r="170" spans="1:7">
      <c r="A170" t="str">
        <f t="shared" ref="A170:A177" si="12">"280"</f>
        <v>280</v>
      </c>
      <c r="B170" t="s">
        <v>204</v>
      </c>
      <c r="C170" t="str">
        <f>"040300"</f>
        <v>040300</v>
      </c>
      <c r="D170" t="s">
        <v>205</v>
      </c>
      <c r="E170">
        <v>2495</v>
      </c>
      <c r="F170">
        <v>0</v>
      </c>
      <c r="G170">
        <v>0</v>
      </c>
    </row>
    <row r="171" spans="1:7">
      <c r="A171" t="str">
        <f t="shared" si="12"/>
        <v>280</v>
      </c>
      <c r="B171" t="s">
        <v>204</v>
      </c>
      <c r="C171" t="str">
        <f>"036420"</f>
        <v>036420</v>
      </c>
      <c r="D171" t="s">
        <v>206</v>
      </c>
      <c r="E171">
        <v>5605</v>
      </c>
      <c r="F171">
        <v>0</v>
      </c>
      <c r="G171">
        <v>0</v>
      </c>
    </row>
    <row r="172" spans="1:7">
      <c r="A172" t="str">
        <f t="shared" si="12"/>
        <v>280</v>
      </c>
      <c r="B172" t="s">
        <v>204</v>
      </c>
      <c r="C172" t="str">
        <f>"052220"</f>
        <v>052220</v>
      </c>
      <c r="D172" t="s">
        <v>207</v>
      </c>
      <c r="E172">
        <v>754</v>
      </c>
      <c r="F172">
        <v>0</v>
      </c>
      <c r="G172">
        <v>0</v>
      </c>
    </row>
    <row r="173" spans="1:7">
      <c r="A173" t="str">
        <f t="shared" si="12"/>
        <v>280</v>
      </c>
      <c r="B173" t="s">
        <v>204</v>
      </c>
      <c r="C173" t="str">
        <f>"030000"</f>
        <v>030000</v>
      </c>
      <c r="D173" t="s">
        <v>208</v>
      </c>
      <c r="E173">
        <v>25252</v>
      </c>
      <c r="F173">
        <v>0</v>
      </c>
      <c r="G173">
        <v>0</v>
      </c>
    </row>
    <row r="174" spans="1:7">
      <c r="A174" t="str">
        <f t="shared" si="12"/>
        <v>280</v>
      </c>
      <c r="B174" t="s">
        <v>204</v>
      </c>
      <c r="C174" t="str">
        <f>"046140"</f>
        <v>046140</v>
      </c>
      <c r="D174" t="s">
        <v>209</v>
      </c>
      <c r="E174">
        <v>1228</v>
      </c>
      <c r="F174">
        <v>0</v>
      </c>
      <c r="G174">
        <v>0</v>
      </c>
    </row>
    <row r="175" spans="1:7">
      <c r="A175" t="str">
        <f t="shared" si="12"/>
        <v>280</v>
      </c>
      <c r="B175" t="s">
        <v>204</v>
      </c>
      <c r="C175" t="str">
        <f>"058400"</f>
        <v>058400</v>
      </c>
      <c r="D175" t="s">
        <v>210</v>
      </c>
      <c r="E175">
        <v>1183</v>
      </c>
      <c r="F175">
        <v>0</v>
      </c>
      <c r="G175">
        <v>0</v>
      </c>
    </row>
    <row r="176" spans="1:7">
      <c r="A176" t="str">
        <f t="shared" si="12"/>
        <v>280</v>
      </c>
      <c r="B176" t="s">
        <v>204</v>
      </c>
      <c r="C176" t="str">
        <f>"033830"</f>
        <v>033830</v>
      </c>
      <c r="D176" t="s">
        <v>211</v>
      </c>
      <c r="E176">
        <v>1180</v>
      </c>
      <c r="F176">
        <v>0</v>
      </c>
      <c r="G176">
        <v>0</v>
      </c>
    </row>
    <row r="177" spans="1:7">
      <c r="A177" t="str">
        <f t="shared" si="12"/>
        <v>280</v>
      </c>
      <c r="B177" t="s">
        <v>204</v>
      </c>
      <c r="C177" t="str">
        <f>"034120"</f>
        <v>034120</v>
      </c>
      <c r="D177" t="s">
        <v>212</v>
      </c>
      <c r="E177">
        <v>5978</v>
      </c>
      <c r="F177">
        <v>0</v>
      </c>
      <c r="G177">
        <v>0</v>
      </c>
    </row>
    <row r="178" spans="1:7">
      <c r="A178" t="str">
        <f>"517"</f>
        <v>517</v>
      </c>
      <c r="B178" t="s">
        <v>213</v>
      </c>
      <c r="C178" t="str">
        <f>"054210"</f>
        <v>054210</v>
      </c>
      <c r="D178" t="s">
        <v>214</v>
      </c>
      <c r="E178">
        <v>3035</v>
      </c>
      <c r="F178">
        <v>0</v>
      </c>
      <c r="G178">
        <v>0</v>
      </c>
    </row>
    <row r="179" spans="1:7">
      <c r="A179" t="str">
        <f>"517"</f>
        <v>517</v>
      </c>
      <c r="B179" t="s">
        <v>213</v>
      </c>
      <c r="C179" t="str">
        <f>"004710"</f>
        <v>004710</v>
      </c>
      <c r="D179" t="s">
        <v>215</v>
      </c>
      <c r="E179">
        <v>1628</v>
      </c>
      <c r="F179">
        <v>0</v>
      </c>
      <c r="G179">
        <v>0</v>
      </c>
    </row>
    <row r="180" spans="1:7">
      <c r="A180" t="str">
        <f>"517"</f>
        <v>517</v>
      </c>
      <c r="B180" t="s">
        <v>213</v>
      </c>
      <c r="C180" t="str">
        <f>"061040"</f>
        <v>061040</v>
      </c>
      <c r="D180" t="s">
        <v>216</v>
      </c>
      <c r="E180">
        <v>1733</v>
      </c>
      <c r="F180">
        <v>0</v>
      </c>
      <c r="G180">
        <v>0</v>
      </c>
    </row>
    <row r="181" spans="1:7">
      <c r="A181" t="str">
        <f>"517"</f>
        <v>517</v>
      </c>
      <c r="B181" t="s">
        <v>213</v>
      </c>
      <c r="C181" t="str">
        <f>"089010"</f>
        <v>089010</v>
      </c>
      <c r="D181" t="s">
        <v>217</v>
      </c>
      <c r="E181">
        <v>2006</v>
      </c>
      <c r="F181">
        <v>0</v>
      </c>
      <c r="G181">
        <v>0</v>
      </c>
    </row>
    <row r="182" spans="1:7">
      <c r="A182" t="str">
        <f>"517"</f>
        <v>517</v>
      </c>
      <c r="B182" t="s">
        <v>213</v>
      </c>
      <c r="C182" t="str">
        <f>"043590"</f>
        <v>043590</v>
      </c>
      <c r="D182" t="s">
        <v>218</v>
      </c>
      <c r="E182">
        <v>379</v>
      </c>
      <c r="F182">
        <v>0</v>
      </c>
      <c r="G182">
        <v>0</v>
      </c>
    </row>
    <row r="183" spans="1:7">
      <c r="A183" t="str">
        <f t="shared" ref="A183:A209" si="13">"920"</f>
        <v>920</v>
      </c>
      <c r="B183" t="s">
        <v>219</v>
      </c>
      <c r="C183" t="str">
        <f>"076610"</f>
        <v>076610</v>
      </c>
      <c r="D183" t="s">
        <v>220</v>
      </c>
      <c r="E183">
        <v>580</v>
      </c>
      <c r="F183">
        <v>0</v>
      </c>
      <c r="G183">
        <v>0</v>
      </c>
    </row>
    <row r="184" spans="1:7">
      <c r="A184" t="str">
        <f t="shared" si="13"/>
        <v>920</v>
      </c>
      <c r="B184" t="s">
        <v>219</v>
      </c>
      <c r="C184" t="str">
        <f>"096610"</f>
        <v>096610</v>
      </c>
      <c r="D184" t="s">
        <v>221</v>
      </c>
      <c r="E184">
        <v>266</v>
      </c>
      <c r="F184">
        <v>0</v>
      </c>
      <c r="G184">
        <v>0</v>
      </c>
    </row>
    <row r="185" spans="1:7">
      <c r="A185" t="str">
        <f t="shared" si="13"/>
        <v>920</v>
      </c>
      <c r="B185" t="s">
        <v>219</v>
      </c>
      <c r="C185" t="str">
        <f>"154040"</f>
        <v>154040</v>
      </c>
      <c r="D185" t="s">
        <v>222</v>
      </c>
      <c r="E185">
        <v>376</v>
      </c>
      <c r="F185">
        <v>0</v>
      </c>
      <c r="G185">
        <v>0</v>
      </c>
    </row>
    <row r="186" spans="1:7">
      <c r="A186" t="str">
        <f t="shared" si="13"/>
        <v>920</v>
      </c>
      <c r="B186" t="s">
        <v>219</v>
      </c>
      <c r="C186" t="str">
        <f>"096530"</f>
        <v>096530</v>
      </c>
      <c r="D186" t="s">
        <v>223</v>
      </c>
      <c r="E186">
        <v>14493</v>
      </c>
      <c r="F186">
        <v>0</v>
      </c>
      <c r="G186">
        <v>0</v>
      </c>
    </row>
    <row r="187" spans="1:7">
      <c r="A187" t="str">
        <f t="shared" si="13"/>
        <v>920</v>
      </c>
      <c r="B187" t="s">
        <v>219</v>
      </c>
      <c r="C187" t="str">
        <f>"114630"</f>
        <v>114630</v>
      </c>
      <c r="D187" t="s">
        <v>224</v>
      </c>
      <c r="E187">
        <v>499</v>
      </c>
      <c r="F187">
        <v>0</v>
      </c>
      <c r="G187">
        <v>0</v>
      </c>
    </row>
    <row r="188" spans="1:7">
      <c r="A188" t="str">
        <f t="shared" si="13"/>
        <v>920</v>
      </c>
      <c r="B188" t="s">
        <v>219</v>
      </c>
      <c r="C188" t="str">
        <f>"027580"</f>
        <v>027580</v>
      </c>
      <c r="D188" t="s">
        <v>225</v>
      </c>
      <c r="E188">
        <v>826</v>
      </c>
      <c r="F188">
        <v>0</v>
      </c>
      <c r="G188">
        <v>0</v>
      </c>
    </row>
    <row r="189" spans="1:7">
      <c r="A189" t="str">
        <f t="shared" si="13"/>
        <v>920</v>
      </c>
      <c r="B189" t="s">
        <v>219</v>
      </c>
      <c r="C189" t="str">
        <f>"093190"</f>
        <v>093190</v>
      </c>
      <c r="D189" t="s">
        <v>226</v>
      </c>
      <c r="E189">
        <v>1354</v>
      </c>
      <c r="F189">
        <v>0</v>
      </c>
      <c r="G189">
        <v>0</v>
      </c>
    </row>
    <row r="190" spans="1:7">
      <c r="A190" t="str">
        <f t="shared" si="13"/>
        <v>920</v>
      </c>
      <c r="B190" t="s">
        <v>219</v>
      </c>
      <c r="C190" t="str">
        <f>"109860"</f>
        <v>109860</v>
      </c>
      <c r="D190" t="s">
        <v>227</v>
      </c>
      <c r="E190">
        <v>1852</v>
      </c>
      <c r="F190">
        <v>0</v>
      </c>
      <c r="G190">
        <v>0</v>
      </c>
    </row>
    <row r="191" spans="1:7">
      <c r="A191" t="str">
        <f t="shared" si="13"/>
        <v>920</v>
      </c>
      <c r="B191" t="s">
        <v>219</v>
      </c>
      <c r="C191" t="str">
        <f>"098460"</f>
        <v>098460</v>
      </c>
      <c r="D191" t="s">
        <v>155</v>
      </c>
      <c r="E191">
        <v>9028</v>
      </c>
      <c r="F191">
        <v>0</v>
      </c>
      <c r="G191">
        <v>0</v>
      </c>
    </row>
    <row r="192" spans="1:7">
      <c r="A192" t="str">
        <f t="shared" si="13"/>
        <v>920</v>
      </c>
      <c r="B192" t="s">
        <v>219</v>
      </c>
      <c r="C192" t="str">
        <f>"094840"</f>
        <v>094840</v>
      </c>
      <c r="D192" t="s">
        <v>228</v>
      </c>
      <c r="E192">
        <v>556</v>
      </c>
      <c r="F192">
        <v>0</v>
      </c>
      <c r="G192">
        <v>0</v>
      </c>
    </row>
    <row r="193" spans="1:7">
      <c r="A193" t="str">
        <f t="shared" si="13"/>
        <v>920</v>
      </c>
      <c r="B193" t="s">
        <v>219</v>
      </c>
      <c r="C193" t="str">
        <f>"038290"</f>
        <v>038290</v>
      </c>
      <c r="D193" t="s">
        <v>229</v>
      </c>
      <c r="E193">
        <v>2190</v>
      </c>
      <c r="F193">
        <v>0</v>
      </c>
      <c r="G193">
        <v>0</v>
      </c>
    </row>
    <row r="194" spans="1:7">
      <c r="A194" t="str">
        <f t="shared" si="13"/>
        <v>920</v>
      </c>
      <c r="B194" t="s">
        <v>219</v>
      </c>
      <c r="C194" t="str">
        <f>"100120"</f>
        <v>100120</v>
      </c>
      <c r="D194" t="s">
        <v>230</v>
      </c>
      <c r="E194">
        <v>2986</v>
      </c>
      <c r="F194">
        <v>0</v>
      </c>
      <c r="G194">
        <v>0</v>
      </c>
    </row>
    <row r="195" spans="1:7">
      <c r="A195" t="str">
        <f t="shared" si="13"/>
        <v>920</v>
      </c>
      <c r="B195" t="s">
        <v>219</v>
      </c>
      <c r="C195" t="str">
        <f>"089030"</f>
        <v>089030</v>
      </c>
      <c r="D195" t="s">
        <v>231</v>
      </c>
      <c r="E195">
        <v>2167</v>
      </c>
      <c r="F195">
        <v>0</v>
      </c>
      <c r="G195">
        <v>0</v>
      </c>
    </row>
    <row r="196" spans="1:7">
      <c r="A196" t="str">
        <f t="shared" si="13"/>
        <v>920</v>
      </c>
      <c r="B196" t="s">
        <v>219</v>
      </c>
      <c r="C196" t="str">
        <f>"073110"</f>
        <v>073110</v>
      </c>
      <c r="D196" t="s">
        <v>232</v>
      </c>
      <c r="E196">
        <v>600</v>
      </c>
      <c r="F196">
        <v>0</v>
      </c>
      <c r="G196">
        <v>0</v>
      </c>
    </row>
    <row r="197" spans="1:7">
      <c r="A197" t="str">
        <f t="shared" si="13"/>
        <v>920</v>
      </c>
      <c r="B197" t="s">
        <v>219</v>
      </c>
      <c r="C197" t="str">
        <f>"102710"</f>
        <v>102710</v>
      </c>
      <c r="D197" t="s">
        <v>146</v>
      </c>
      <c r="E197">
        <v>2950</v>
      </c>
      <c r="F197">
        <v>0</v>
      </c>
      <c r="G197">
        <v>0</v>
      </c>
    </row>
    <row r="198" spans="1:7">
      <c r="A198" t="str">
        <f t="shared" si="13"/>
        <v>920</v>
      </c>
      <c r="B198" t="s">
        <v>219</v>
      </c>
      <c r="C198" t="str">
        <f>"095610"</f>
        <v>095610</v>
      </c>
      <c r="D198" t="s">
        <v>63</v>
      </c>
      <c r="E198">
        <v>3262</v>
      </c>
      <c r="F198">
        <v>0</v>
      </c>
      <c r="G198">
        <v>0</v>
      </c>
    </row>
    <row r="199" spans="1:7">
      <c r="A199" t="str">
        <f t="shared" si="13"/>
        <v>920</v>
      </c>
      <c r="B199" t="s">
        <v>219</v>
      </c>
      <c r="C199" t="str">
        <f>"014620"</f>
        <v>014620</v>
      </c>
      <c r="D199" t="s">
        <v>233</v>
      </c>
      <c r="E199">
        <v>3561</v>
      </c>
      <c r="F199">
        <v>0</v>
      </c>
      <c r="G199">
        <v>0</v>
      </c>
    </row>
    <row r="200" spans="1:7">
      <c r="A200" t="str">
        <f t="shared" si="13"/>
        <v>920</v>
      </c>
      <c r="B200" t="s">
        <v>219</v>
      </c>
      <c r="C200" t="str">
        <f>"039030"</f>
        <v>039030</v>
      </c>
      <c r="D200" t="s">
        <v>234</v>
      </c>
      <c r="E200">
        <v>8279</v>
      </c>
      <c r="F200">
        <v>0</v>
      </c>
      <c r="G200">
        <v>0</v>
      </c>
    </row>
    <row r="201" spans="1:7">
      <c r="A201" t="str">
        <f t="shared" si="13"/>
        <v>920</v>
      </c>
      <c r="B201" t="s">
        <v>219</v>
      </c>
      <c r="C201" t="str">
        <f>"030530"</f>
        <v>030530</v>
      </c>
      <c r="D201" t="s">
        <v>65</v>
      </c>
      <c r="E201">
        <v>2657</v>
      </c>
      <c r="F201">
        <v>0</v>
      </c>
      <c r="G201">
        <v>0</v>
      </c>
    </row>
    <row r="202" spans="1:7">
      <c r="A202" t="str">
        <f t="shared" si="13"/>
        <v>920</v>
      </c>
      <c r="B202" t="s">
        <v>219</v>
      </c>
      <c r="C202" t="str">
        <f>"041830"</f>
        <v>041830</v>
      </c>
      <c r="D202" t="s">
        <v>235</v>
      </c>
      <c r="E202">
        <v>2689</v>
      </c>
      <c r="F202">
        <v>0</v>
      </c>
      <c r="G202">
        <v>0</v>
      </c>
    </row>
    <row r="203" spans="1:7">
      <c r="A203" t="str">
        <f t="shared" si="13"/>
        <v>920</v>
      </c>
      <c r="B203" t="s">
        <v>219</v>
      </c>
      <c r="C203" t="str">
        <f>"049080"</f>
        <v>049080</v>
      </c>
      <c r="D203" t="s">
        <v>236</v>
      </c>
      <c r="E203">
        <v>1201</v>
      </c>
      <c r="F203">
        <v>0</v>
      </c>
      <c r="G203">
        <v>0</v>
      </c>
    </row>
    <row r="204" spans="1:7">
      <c r="A204" t="str">
        <f t="shared" si="13"/>
        <v>920</v>
      </c>
      <c r="B204" t="s">
        <v>219</v>
      </c>
      <c r="C204" t="str">
        <f>"052710"</f>
        <v>052710</v>
      </c>
      <c r="D204" t="s">
        <v>123</v>
      </c>
      <c r="E204">
        <v>2626</v>
      </c>
      <c r="F204">
        <v>0</v>
      </c>
      <c r="G204">
        <v>0</v>
      </c>
    </row>
    <row r="205" spans="1:7">
      <c r="A205" t="str">
        <f t="shared" si="13"/>
        <v>920</v>
      </c>
      <c r="B205" t="s">
        <v>219</v>
      </c>
      <c r="C205" t="str">
        <f>"054950"</f>
        <v>054950</v>
      </c>
      <c r="D205" t="s">
        <v>174</v>
      </c>
      <c r="E205">
        <v>2503</v>
      </c>
      <c r="F205">
        <v>0</v>
      </c>
      <c r="G205">
        <v>0</v>
      </c>
    </row>
    <row r="206" spans="1:7">
      <c r="A206" t="str">
        <f t="shared" si="13"/>
        <v>920</v>
      </c>
      <c r="B206" t="s">
        <v>219</v>
      </c>
      <c r="C206" t="str">
        <f>"088390"</f>
        <v>088390</v>
      </c>
      <c r="D206" t="s">
        <v>237</v>
      </c>
      <c r="E206">
        <v>2131</v>
      </c>
      <c r="F206">
        <v>0</v>
      </c>
      <c r="G206">
        <v>0</v>
      </c>
    </row>
    <row r="207" spans="1:7">
      <c r="A207" t="str">
        <f t="shared" si="13"/>
        <v>920</v>
      </c>
      <c r="B207" t="s">
        <v>219</v>
      </c>
      <c r="C207" t="str">
        <f>"126700"</f>
        <v>126700</v>
      </c>
      <c r="D207" t="s">
        <v>238</v>
      </c>
      <c r="E207">
        <v>2817</v>
      </c>
      <c r="F207">
        <v>0</v>
      </c>
      <c r="G207">
        <v>0</v>
      </c>
    </row>
    <row r="208" spans="1:7">
      <c r="A208" t="str">
        <f t="shared" si="13"/>
        <v>920</v>
      </c>
      <c r="B208" t="s">
        <v>219</v>
      </c>
      <c r="C208" t="str">
        <f>"080420"</f>
        <v>080420</v>
      </c>
      <c r="D208" t="s">
        <v>239</v>
      </c>
      <c r="E208">
        <v>2428</v>
      </c>
      <c r="F208">
        <v>0</v>
      </c>
      <c r="G208">
        <v>0</v>
      </c>
    </row>
    <row r="209" spans="1:7">
      <c r="A209" t="str">
        <f t="shared" si="13"/>
        <v>920</v>
      </c>
      <c r="B209" t="s">
        <v>219</v>
      </c>
      <c r="C209" t="str">
        <f>"095340"</f>
        <v>095340</v>
      </c>
      <c r="D209" t="s">
        <v>240</v>
      </c>
      <c r="E209">
        <v>5672</v>
      </c>
      <c r="F209">
        <v>0</v>
      </c>
      <c r="G209">
        <v>0</v>
      </c>
    </row>
    <row r="210" spans="1:7">
      <c r="A210" t="str">
        <f t="shared" ref="A210:A219" si="14">"330"</f>
        <v>330</v>
      </c>
      <c r="B210" t="s">
        <v>241</v>
      </c>
      <c r="C210" t="str">
        <f>"027050"</f>
        <v>027050</v>
      </c>
      <c r="D210" t="s">
        <v>242</v>
      </c>
      <c r="E210">
        <v>1346</v>
      </c>
      <c r="F210">
        <v>0</v>
      </c>
      <c r="G210">
        <v>0</v>
      </c>
    </row>
    <row r="211" spans="1:7">
      <c r="A211" t="str">
        <f t="shared" si="14"/>
        <v>330</v>
      </c>
      <c r="B211" t="s">
        <v>241</v>
      </c>
      <c r="C211" t="str">
        <f>"090430"</f>
        <v>090430</v>
      </c>
      <c r="D211" t="s">
        <v>243</v>
      </c>
      <c r="E211">
        <v>80428</v>
      </c>
      <c r="F211">
        <v>0</v>
      </c>
      <c r="G211">
        <v>0</v>
      </c>
    </row>
    <row r="212" spans="1:7">
      <c r="A212" t="str">
        <f t="shared" si="14"/>
        <v>330</v>
      </c>
      <c r="B212" t="s">
        <v>241</v>
      </c>
      <c r="C212" t="str">
        <f>"051900"</f>
        <v>051900</v>
      </c>
      <c r="D212" t="s">
        <v>244</v>
      </c>
      <c r="E212">
        <v>114013</v>
      </c>
      <c r="F212">
        <v>0</v>
      </c>
      <c r="G212">
        <v>0</v>
      </c>
    </row>
    <row r="213" spans="1:7">
      <c r="A213" t="str">
        <f t="shared" si="14"/>
        <v>330</v>
      </c>
      <c r="B213" t="s">
        <v>241</v>
      </c>
      <c r="C213" t="str">
        <f>"021240"</f>
        <v>021240</v>
      </c>
      <c r="D213" t="s">
        <v>245</v>
      </c>
      <c r="E213">
        <v>40516</v>
      </c>
      <c r="F213">
        <v>0</v>
      </c>
      <c r="G213">
        <v>0</v>
      </c>
    </row>
    <row r="214" spans="1:7">
      <c r="A214" t="str">
        <f t="shared" si="14"/>
        <v>330</v>
      </c>
      <c r="B214" t="s">
        <v>241</v>
      </c>
      <c r="C214" t="str">
        <f>"123330"</f>
        <v>123330</v>
      </c>
      <c r="D214" t="s">
        <v>246</v>
      </c>
      <c r="E214">
        <v>316</v>
      </c>
      <c r="F214">
        <v>0</v>
      </c>
      <c r="G214">
        <v>0</v>
      </c>
    </row>
    <row r="215" spans="1:7">
      <c r="A215" t="str">
        <f t="shared" si="14"/>
        <v>330</v>
      </c>
      <c r="B215" t="s">
        <v>241</v>
      </c>
      <c r="C215" t="str">
        <f>"044820"</f>
        <v>044820</v>
      </c>
      <c r="D215" t="s">
        <v>247</v>
      </c>
      <c r="E215">
        <v>838</v>
      </c>
      <c r="F215">
        <v>0</v>
      </c>
      <c r="G215">
        <v>0</v>
      </c>
    </row>
    <row r="216" spans="1:7">
      <c r="A216" t="str">
        <f t="shared" si="14"/>
        <v>330</v>
      </c>
      <c r="B216" t="s">
        <v>241</v>
      </c>
      <c r="C216" t="str">
        <f>"078520"</f>
        <v>078520</v>
      </c>
      <c r="D216" t="s">
        <v>248</v>
      </c>
      <c r="E216">
        <v>1498</v>
      </c>
      <c r="F216">
        <v>0</v>
      </c>
      <c r="G216">
        <v>0</v>
      </c>
    </row>
    <row r="217" spans="1:7">
      <c r="A217" t="str">
        <f t="shared" si="14"/>
        <v>330</v>
      </c>
      <c r="B217" t="s">
        <v>241</v>
      </c>
      <c r="C217" t="str">
        <f>"123690"</f>
        <v>123690</v>
      </c>
      <c r="D217" t="s">
        <v>249</v>
      </c>
      <c r="E217">
        <v>1287</v>
      </c>
      <c r="F217">
        <v>0</v>
      </c>
      <c r="G217">
        <v>0</v>
      </c>
    </row>
    <row r="218" spans="1:7">
      <c r="A218" t="str">
        <f t="shared" si="14"/>
        <v>330</v>
      </c>
      <c r="B218" t="s">
        <v>241</v>
      </c>
      <c r="C218" t="str">
        <f>"161890"</f>
        <v>161890</v>
      </c>
      <c r="D218" t="s">
        <v>250</v>
      </c>
      <c r="E218">
        <v>9473</v>
      </c>
      <c r="F218">
        <v>0</v>
      </c>
      <c r="G218">
        <v>0</v>
      </c>
    </row>
    <row r="219" spans="1:7">
      <c r="A219" t="str">
        <f t="shared" si="14"/>
        <v>330</v>
      </c>
      <c r="B219" t="s">
        <v>241</v>
      </c>
      <c r="C219" t="str">
        <f>"003350"</f>
        <v>003350</v>
      </c>
      <c r="D219" t="s">
        <v>251</v>
      </c>
      <c r="E219">
        <v>1298</v>
      </c>
      <c r="F219">
        <v>0</v>
      </c>
      <c r="G219">
        <v>0</v>
      </c>
    </row>
    <row r="220" spans="1:7">
      <c r="A220" t="str">
        <f>"830"</f>
        <v>830</v>
      </c>
      <c r="B220" t="s">
        <v>252</v>
      </c>
      <c r="C220" t="str">
        <f>"002790"</f>
        <v>002790</v>
      </c>
      <c r="D220" t="s">
        <v>253</v>
      </c>
      <c r="E220">
        <v>28902</v>
      </c>
      <c r="F220">
        <v>0</v>
      </c>
      <c r="G220">
        <v>0</v>
      </c>
    </row>
    <row r="221" spans="1:7">
      <c r="A221" t="str">
        <f>"830"</f>
        <v>830</v>
      </c>
      <c r="B221" t="s">
        <v>252</v>
      </c>
      <c r="C221" t="str">
        <f>"044820"</f>
        <v>044820</v>
      </c>
      <c r="D221" t="s">
        <v>247</v>
      </c>
      <c r="E221">
        <v>838</v>
      </c>
      <c r="F221">
        <v>0</v>
      </c>
      <c r="G221">
        <v>0</v>
      </c>
    </row>
    <row r="222" spans="1:7">
      <c r="A222" t="str">
        <f>"830"</f>
        <v>830</v>
      </c>
      <c r="B222" t="s">
        <v>252</v>
      </c>
      <c r="C222" t="str">
        <f>"078520"</f>
        <v>078520</v>
      </c>
      <c r="D222" t="s">
        <v>248</v>
      </c>
      <c r="E222">
        <v>1498</v>
      </c>
      <c r="F222">
        <v>0</v>
      </c>
      <c r="G222">
        <v>0</v>
      </c>
    </row>
    <row r="223" spans="1:7">
      <c r="A223" t="str">
        <f>"830"</f>
        <v>830</v>
      </c>
      <c r="B223" t="s">
        <v>252</v>
      </c>
      <c r="C223" t="str">
        <f>"161890"</f>
        <v>161890</v>
      </c>
      <c r="D223" t="s">
        <v>250</v>
      </c>
      <c r="E223">
        <v>9473</v>
      </c>
      <c r="F223">
        <v>0</v>
      </c>
      <c r="G223">
        <v>0</v>
      </c>
    </row>
    <row r="224" spans="1:7">
      <c r="A224" t="str">
        <f>"830"</f>
        <v>830</v>
      </c>
      <c r="B224" t="s">
        <v>252</v>
      </c>
      <c r="C224" t="str">
        <f>"026040"</f>
        <v>026040</v>
      </c>
      <c r="D224" t="s">
        <v>254</v>
      </c>
      <c r="E224">
        <v>402</v>
      </c>
      <c r="F224">
        <v>0</v>
      </c>
      <c r="G224">
        <v>0</v>
      </c>
    </row>
    <row r="225" spans="1:7">
      <c r="A225" t="str">
        <f t="shared" ref="A225:A232" si="15">"850"</f>
        <v>850</v>
      </c>
      <c r="B225" t="s">
        <v>255</v>
      </c>
      <c r="C225" t="str">
        <f>"060150"</f>
        <v>060150</v>
      </c>
      <c r="D225" t="s">
        <v>256</v>
      </c>
      <c r="E225">
        <v>3991</v>
      </c>
      <c r="F225">
        <v>0</v>
      </c>
      <c r="G225">
        <v>0</v>
      </c>
    </row>
    <row r="226" spans="1:7">
      <c r="A226" t="str">
        <f t="shared" si="15"/>
        <v>850</v>
      </c>
      <c r="B226" t="s">
        <v>255</v>
      </c>
      <c r="C226" t="str">
        <f>"003010"</f>
        <v>003010</v>
      </c>
      <c r="D226" t="s">
        <v>257</v>
      </c>
      <c r="E226">
        <v>737</v>
      </c>
      <c r="F226">
        <v>0</v>
      </c>
      <c r="G226">
        <v>0</v>
      </c>
    </row>
    <row r="227" spans="1:7">
      <c r="A227" t="str">
        <f t="shared" si="15"/>
        <v>850</v>
      </c>
      <c r="B227" t="s">
        <v>255</v>
      </c>
      <c r="C227" t="str">
        <f>"011370"</f>
        <v>011370</v>
      </c>
      <c r="D227" t="s">
        <v>258</v>
      </c>
      <c r="E227">
        <v>1170</v>
      </c>
      <c r="F227">
        <v>0</v>
      </c>
      <c r="G227">
        <v>0</v>
      </c>
    </row>
    <row r="228" spans="1:7">
      <c r="A228" t="str">
        <f t="shared" si="15"/>
        <v>850</v>
      </c>
      <c r="B228" t="s">
        <v>255</v>
      </c>
      <c r="C228" t="str">
        <f>"035890"</f>
        <v>035890</v>
      </c>
      <c r="D228" t="s">
        <v>259</v>
      </c>
      <c r="E228">
        <v>2677</v>
      </c>
      <c r="F228">
        <v>0</v>
      </c>
      <c r="G228">
        <v>0</v>
      </c>
    </row>
    <row r="229" spans="1:7">
      <c r="A229" t="str">
        <f t="shared" si="15"/>
        <v>850</v>
      </c>
      <c r="B229" t="s">
        <v>255</v>
      </c>
      <c r="C229" t="str">
        <f>"009440"</f>
        <v>009440</v>
      </c>
      <c r="D229" t="s">
        <v>260</v>
      </c>
      <c r="E229">
        <v>620</v>
      </c>
      <c r="F229">
        <v>0</v>
      </c>
      <c r="G229">
        <v>0</v>
      </c>
    </row>
    <row r="230" spans="1:7">
      <c r="A230" t="str">
        <f t="shared" si="15"/>
        <v>850</v>
      </c>
      <c r="B230" t="s">
        <v>255</v>
      </c>
      <c r="C230" t="str">
        <f>"054940"</f>
        <v>054940</v>
      </c>
      <c r="D230" t="s">
        <v>261</v>
      </c>
      <c r="E230">
        <v>445</v>
      </c>
      <c r="F230">
        <v>0</v>
      </c>
      <c r="G230">
        <v>0</v>
      </c>
    </row>
    <row r="231" spans="1:7">
      <c r="A231" t="str">
        <f t="shared" si="15"/>
        <v>850</v>
      </c>
      <c r="B231" t="s">
        <v>255</v>
      </c>
      <c r="C231" t="str">
        <f>"029960"</f>
        <v>029960</v>
      </c>
      <c r="D231" t="s">
        <v>262</v>
      </c>
      <c r="E231">
        <v>3510</v>
      </c>
      <c r="F231">
        <v>0</v>
      </c>
      <c r="G231">
        <v>0</v>
      </c>
    </row>
    <row r="232" spans="1:7">
      <c r="A232" t="str">
        <f t="shared" si="15"/>
        <v>850</v>
      </c>
      <c r="B232" t="s">
        <v>255</v>
      </c>
      <c r="C232" t="str">
        <f>"067900"</f>
        <v>067900</v>
      </c>
      <c r="D232" t="s">
        <v>263</v>
      </c>
      <c r="E232">
        <v>1585</v>
      </c>
      <c r="F232">
        <v>0</v>
      </c>
      <c r="G232">
        <v>0</v>
      </c>
    </row>
    <row r="233" spans="1:7">
      <c r="A233" t="str">
        <f t="shared" ref="A233:A245" si="16">"210"</f>
        <v>210</v>
      </c>
      <c r="B233" t="s">
        <v>264</v>
      </c>
      <c r="C233" t="str">
        <f>"017550"</f>
        <v>017550</v>
      </c>
      <c r="D233" t="s">
        <v>265</v>
      </c>
      <c r="E233">
        <v>1525</v>
      </c>
      <c r="F233">
        <v>0</v>
      </c>
      <c r="G233">
        <v>0</v>
      </c>
    </row>
    <row r="234" spans="1:7">
      <c r="A234" t="str">
        <f t="shared" si="16"/>
        <v>210</v>
      </c>
      <c r="B234" t="s">
        <v>264</v>
      </c>
      <c r="C234" t="str">
        <f>"010240"</f>
        <v>010240</v>
      </c>
      <c r="D234" t="s">
        <v>266</v>
      </c>
      <c r="E234">
        <v>746</v>
      </c>
      <c r="F234">
        <v>0</v>
      </c>
      <c r="G234">
        <v>0</v>
      </c>
    </row>
    <row r="235" spans="1:7">
      <c r="A235" t="str">
        <f t="shared" si="16"/>
        <v>210</v>
      </c>
      <c r="B235" t="s">
        <v>264</v>
      </c>
      <c r="C235" t="str">
        <f>"041440"</f>
        <v>041440</v>
      </c>
      <c r="D235" t="s">
        <v>267</v>
      </c>
      <c r="E235">
        <v>1417</v>
      </c>
      <c r="F235">
        <v>0</v>
      </c>
      <c r="G235">
        <v>0</v>
      </c>
    </row>
    <row r="236" spans="1:7">
      <c r="A236" t="str">
        <f t="shared" si="16"/>
        <v>210</v>
      </c>
      <c r="B236" t="s">
        <v>264</v>
      </c>
      <c r="C236" t="str">
        <f>"003010"</f>
        <v>003010</v>
      </c>
      <c r="D236" t="s">
        <v>257</v>
      </c>
      <c r="E236">
        <v>737</v>
      </c>
      <c r="F236">
        <v>0</v>
      </c>
      <c r="G236">
        <v>0</v>
      </c>
    </row>
    <row r="237" spans="1:7">
      <c r="A237" t="str">
        <f t="shared" si="16"/>
        <v>210</v>
      </c>
      <c r="B237" t="s">
        <v>264</v>
      </c>
      <c r="C237" t="str">
        <f>"109860"</f>
        <v>109860</v>
      </c>
      <c r="D237" t="s">
        <v>227</v>
      </c>
      <c r="E237">
        <v>1852</v>
      </c>
      <c r="F237">
        <v>0</v>
      </c>
      <c r="G237">
        <v>0</v>
      </c>
    </row>
    <row r="238" spans="1:7">
      <c r="A238" t="str">
        <f t="shared" si="16"/>
        <v>210</v>
      </c>
      <c r="B238" t="s">
        <v>264</v>
      </c>
      <c r="C238" t="str">
        <f>"092200"</f>
        <v>092200</v>
      </c>
      <c r="D238" t="s">
        <v>268</v>
      </c>
      <c r="E238">
        <v>1369</v>
      </c>
      <c r="F238">
        <v>0</v>
      </c>
      <c r="G238">
        <v>0</v>
      </c>
    </row>
    <row r="239" spans="1:7">
      <c r="A239" t="str">
        <f t="shared" si="16"/>
        <v>210</v>
      </c>
      <c r="B239" t="s">
        <v>264</v>
      </c>
      <c r="C239" t="str">
        <f>"013570"</f>
        <v>013570</v>
      </c>
      <c r="D239" t="s">
        <v>269</v>
      </c>
      <c r="E239">
        <v>1387</v>
      </c>
      <c r="F239">
        <v>0</v>
      </c>
      <c r="G239">
        <v>0</v>
      </c>
    </row>
    <row r="240" spans="1:7">
      <c r="A240" t="str">
        <f t="shared" si="16"/>
        <v>210</v>
      </c>
      <c r="B240" t="s">
        <v>264</v>
      </c>
      <c r="C240" t="str">
        <f>"009540"</f>
        <v>009540</v>
      </c>
      <c r="D240" t="s">
        <v>270</v>
      </c>
      <c r="E240">
        <v>51947</v>
      </c>
      <c r="F240">
        <v>0</v>
      </c>
      <c r="G240">
        <v>0</v>
      </c>
    </row>
    <row r="241" spans="1:7">
      <c r="A241" t="str">
        <f t="shared" si="16"/>
        <v>210</v>
      </c>
      <c r="B241" t="s">
        <v>264</v>
      </c>
      <c r="C241" t="str">
        <f>"101170"</f>
        <v>101170</v>
      </c>
      <c r="D241" t="s">
        <v>271</v>
      </c>
      <c r="E241">
        <v>795</v>
      </c>
      <c r="F241">
        <v>0</v>
      </c>
      <c r="G241">
        <v>0</v>
      </c>
    </row>
    <row r="242" spans="1:7">
      <c r="A242" t="str">
        <f t="shared" si="16"/>
        <v>210</v>
      </c>
      <c r="B242" t="s">
        <v>264</v>
      </c>
      <c r="C242" t="str">
        <f>"000150"</f>
        <v>000150</v>
      </c>
      <c r="D242" t="s">
        <v>272</v>
      </c>
      <c r="E242">
        <v>13103</v>
      </c>
      <c r="F242">
        <v>0</v>
      </c>
      <c r="G242">
        <v>0</v>
      </c>
    </row>
    <row r="243" spans="1:7">
      <c r="A243" t="str">
        <f t="shared" si="16"/>
        <v>210</v>
      </c>
      <c r="B243" t="s">
        <v>264</v>
      </c>
      <c r="C243" t="str">
        <f>"042670"</f>
        <v>042670</v>
      </c>
      <c r="D243" t="s">
        <v>273</v>
      </c>
      <c r="E243">
        <v>14259</v>
      </c>
      <c r="F243">
        <v>0</v>
      </c>
      <c r="G243">
        <v>0</v>
      </c>
    </row>
    <row r="244" spans="1:7">
      <c r="A244" t="str">
        <f t="shared" si="16"/>
        <v>210</v>
      </c>
      <c r="B244" t="s">
        <v>264</v>
      </c>
      <c r="C244" t="str">
        <f>"015230"</f>
        <v>015230</v>
      </c>
      <c r="D244" t="s">
        <v>274</v>
      </c>
      <c r="E244">
        <v>2023</v>
      </c>
      <c r="F244">
        <v>0</v>
      </c>
      <c r="G244">
        <v>0</v>
      </c>
    </row>
    <row r="245" spans="1:7">
      <c r="A245" t="str">
        <f t="shared" si="16"/>
        <v>210</v>
      </c>
      <c r="B245" t="s">
        <v>264</v>
      </c>
      <c r="C245" t="str">
        <f>"036890"</f>
        <v>036890</v>
      </c>
      <c r="D245" t="s">
        <v>275</v>
      </c>
      <c r="E245">
        <v>2720</v>
      </c>
      <c r="F245">
        <v>0</v>
      </c>
      <c r="G245">
        <v>0</v>
      </c>
    </row>
    <row r="246" spans="1:7">
      <c r="A246" t="str">
        <f t="shared" ref="A246:A251" si="17">"552"</f>
        <v>552</v>
      </c>
      <c r="B246" t="s">
        <v>276</v>
      </c>
      <c r="C246" t="str">
        <f>"036540"</f>
        <v>036540</v>
      </c>
      <c r="D246" t="s">
        <v>157</v>
      </c>
      <c r="E246">
        <v>6611</v>
      </c>
      <c r="F246">
        <v>0</v>
      </c>
      <c r="G246">
        <v>0</v>
      </c>
    </row>
    <row r="247" spans="1:7">
      <c r="A247" t="str">
        <f t="shared" si="17"/>
        <v>552</v>
      </c>
      <c r="B247" t="s">
        <v>276</v>
      </c>
      <c r="C247" t="str">
        <f>"067310"</f>
        <v>067310</v>
      </c>
      <c r="D247" t="s">
        <v>158</v>
      </c>
      <c r="E247">
        <v>4677</v>
      </c>
      <c r="F247">
        <v>0</v>
      </c>
      <c r="G247">
        <v>0</v>
      </c>
    </row>
    <row r="248" spans="1:7">
      <c r="A248" t="str">
        <f t="shared" si="17"/>
        <v>552</v>
      </c>
      <c r="B248" t="s">
        <v>276</v>
      </c>
      <c r="C248" t="str">
        <f>"033170"</f>
        <v>033170</v>
      </c>
      <c r="D248" t="s">
        <v>159</v>
      </c>
      <c r="E248">
        <v>922</v>
      </c>
      <c r="F248">
        <v>0</v>
      </c>
      <c r="G248">
        <v>0</v>
      </c>
    </row>
    <row r="249" spans="1:7">
      <c r="A249" t="str">
        <f t="shared" si="17"/>
        <v>552</v>
      </c>
      <c r="B249" t="s">
        <v>276</v>
      </c>
      <c r="C249" t="str">
        <f>"061970"</f>
        <v>061970</v>
      </c>
      <c r="D249" t="s">
        <v>277</v>
      </c>
      <c r="E249">
        <v>2951</v>
      </c>
      <c r="F249">
        <v>0</v>
      </c>
      <c r="G249">
        <v>0</v>
      </c>
    </row>
    <row r="250" spans="1:7">
      <c r="A250" t="str">
        <f t="shared" si="17"/>
        <v>552</v>
      </c>
      <c r="B250" t="s">
        <v>276</v>
      </c>
      <c r="C250" t="str">
        <f>"033640"</f>
        <v>033640</v>
      </c>
      <c r="D250" t="s">
        <v>161</v>
      </c>
      <c r="E250">
        <v>3632</v>
      </c>
      <c r="F250">
        <v>0</v>
      </c>
      <c r="G250">
        <v>0</v>
      </c>
    </row>
    <row r="251" spans="1:7">
      <c r="A251" t="str">
        <f t="shared" si="17"/>
        <v>552</v>
      </c>
      <c r="B251" t="s">
        <v>276</v>
      </c>
      <c r="C251" t="str">
        <f>"089530"</f>
        <v>089530</v>
      </c>
      <c r="D251" t="s">
        <v>278</v>
      </c>
      <c r="E251">
        <v>675</v>
      </c>
      <c r="F251">
        <v>0</v>
      </c>
      <c r="G251">
        <v>0</v>
      </c>
    </row>
    <row r="252" spans="1:7">
      <c r="A252" t="str">
        <f>"102"</f>
        <v>102</v>
      </c>
      <c r="B252" t="s">
        <v>279</v>
      </c>
      <c r="C252" t="str">
        <f>"011790"</f>
        <v>011790</v>
      </c>
      <c r="D252" t="s">
        <v>280</v>
      </c>
      <c r="E252">
        <v>33324</v>
      </c>
      <c r="F252">
        <v>0</v>
      </c>
      <c r="G252">
        <v>0</v>
      </c>
    </row>
    <row r="253" spans="1:7">
      <c r="A253" t="str">
        <f>"102"</f>
        <v>102</v>
      </c>
      <c r="B253" t="s">
        <v>279</v>
      </c>
      <c r="C253" t="str">
        <f>"064760"</f>
        <v>064760</v>
      </c>
      <c r="D253" t="s">
        <v>281</v>
      </c>
      <c r="E253">
        <v>11348</v>
      </c>
      <c r="F253">
        <v>0</v>
      </c>
      <c r="G253">
        <v>0</v>
      </c>
    </row>
    <row r="254" spans="1:7">
      <c r="A254" t="str">
        <f>"102"</f>
        <v>102</v>
      </c>
      <c r="B254" t="s">
        <v>279</v>
      </c>
      <c r="C254" t="str">
        <f>"094820"</f>
        <v>094820</v>
      </c>
      <c r="D254" t="s">
        <v>282</v>
      </c>
      <c r="E254">
        <v>1779</v>
      </c>
      <c r="F254">
        <v>0</v>
      </c>
      <c r="G254">
        <v>0</v>
      </c>
    </row>
    <row r="255" spans="1:7">
      <c r="A255" t="str">
        <f>"102"</f>
        <v>102</v>
      </c>
      <c r="B255" t="s">
        <v>279</v>
      </c>
      <c r="C255" t="str">
        <f>"036930"</f>
        <v>036930</v>
      </c>
      <c r="D255" t="s">
        <v>64</v>
      </c>
      <c r="E255">
        <v>5404</v>
      </c>
      <c r="F255">
        <v>0</v>
      </c>
      <c r="G255">
        <v>0</v>
      </c>
    </row>
    <row r="256" spans="1:7">
      <c r="A256" t="str">
        <f>"102"</f>
        <v>102</v>
      </c>
      <c r="B256" t="s">
        <v>279</v>
      </c>
      <c r="C256" t="str">
        <f>"078600"</f>
        <v>078600</v>
      </c>
      <c r="D256" t="s">
        <v>283</v>
      </c>
      <c r="E256">
        <v>11997</v>
      </c>
      <c r="F256">
        <v>0</v>
      </c>
      <c r="G256">
        <v>0</v>
      </c>
    </row>
    <row r="257" spans="1:7">
      <c r="A257" t="str">
        <f t="shared" ref="A257:A271" si="18">"456"</f>
        <v>456</v>
      </c>
      <c r="B257" t="s">
        <v>284</v>
      </c>
      <c r="C257" t="str">
        <f>"089150"</f>
        <v>089150</v>
      </c>
      <c r="D257" t="s">
        <v>285</v>
      </c>
      <c r="E257">
        <v>587</v>
      </c>
      <c r="F257">
        <v>0</v>
      </c>
      <c r="G257">
        <v>0</v>
      </c>
    </row>
    <row r="258" spans="1:7">
      <c r="A258" t="str">
        <f t="shared" si="18"/>
        <v>456</v>
      </c>
      <c r="B258" t="s">
        <v>284</v>
      </c>
      <c r="C258" t="str">
        <f>"075130"</f>
        <v>075130</v>
      </c>
      <c r="D258" t="s">
        <v>286</v>
      </c>
      <c r="E258">
        <v>411</v>
      </c>
      <c r="F258">
        <v>0</v>
      </c>
      <c r="G258">
        <v>0</v>
      </c>
    </row>
    <row r="259" spans="1:7">
      <c r="A259" t="str">
        <f t="shared" si="18"/>
        <v>456</v>
      </c>
      <c r="B259" t="s">
        <v>284</v>
      </c>
      <c r="C259" t="str">
        <f>"069410"</f>
        <v>069410</v>
      </c>
      <c r="D259" t="s">
        <v>287</v>
      </c>
      <c r="E259">
        <v>527</v>
      </c>
      <c r="F259">
        <v>0</v>
      </c>
      <c r="G259">
        <v>0</v>
      </c>
    </row>
    <row r="260" spans="1:7">
      <c r="A260" t="str">
        <f t="shared" si="18"/>
        <v>456</v>
      </c>
      <c r="B260" t="s">
        <v>284</v>
      </c>
      <c r="C260" t="str">
        <f>"041020"</f>
        <v>041020</v>
      </c>
      <c r="D260" t="s">
        <v>288</v>
      </c>
      <c r="E260">
        <v>627</v>
      </c>
      <c r="F260">
        <v>0</v>
      </c>
      <c r="G260">
        <v>0</v>
      </c>
    </row>
    <row r="261" spans="1:7">
      <c r="A261" t="str">
        <f t="shared" si="18"/>
        <v>456</v>
      </c>
      <c r="B261" t="s">
        <v>284</v>
      </c>
      <c r="C261" t="str">
        <f>"039290"</f>
        <v>039290</v>
      </c>
      <c r="D261" t="s">
        <v>289</v>
      </c>
      <c r="E261">
        <v>869</v>
      </c>
      <c r="F261">
        <v>0</v>
      </c>
      <c r="G261">
        <v>0</v>
      </c>
    </row>
    <row r="262" spans="1:7">
      <c r="A262" t="str">
        <f t="shared" si="18"/>
        <v>456</v>
      </c>
      <c r="B262" t="s">
        <v>284</v>
      </c>
      <c r="C262" t="str">
        <f>"094480"</f>
        <v>094480</v>
      </c>
      <c r="D262" t="s">
        <v>290</v>
      </c>
      <c r="E262">
        <v>1695</v>
      </c>
      <c r="F262">
        <v>0</v>
      </c>
      <c r="G262">
        <v>0</v>
      </c>
    </row>
    <row r="263" spans="1:7">
      <c r="A263" t="str">
        <f t="shared" si="18"/>
        <v>456</v>
      </c>
      <c r="B263" t="s">
        <v>284</v>
      </c>
      <c r="C263" t="str">
        <f>"089850"</f>
        <v>089850</v>
      </c>
      <c r="D263" t="s">
        <v>79</v>
      </c>
      <c r="E263">
        <v>815</v>
      </c>
      <c r="F263">
        <v>0</v>
      </c>
      <c r="G263">
        <v>0</v>
      </c>
    </row>
    <row r="264" spans="1:7">
      <c r="A264" t="str">
        <f t="shared" si="18"/>
        <v>456</v>
      </c>
      <c r="B264" t="s">
        <v>284</v>
      </c>
      <c r="C264" t="str">
        <f>"064800"</f>
        <v>064800</v>
      </c>
      <c r="D264" t="s">
        <v>291</v>
      </c>
      <c r="E264">
        <v>1093</v>
      </c>
      <c r="F264">
        <v>0</v>
      </c>
      <c r="G264">
        <v>0</v>
      </c>
    </row>
    <row r="265" spans="1:7">
      <c r="A265" t="str">
        <f t="shared" si="18"/>
        <v>456</v>
      </c>
      <c r="B265" t="s">
        <v>284</v>
      </c>
      <c r="C265" t="str">
        <f>"078000"</f>
        <v>078000</v>
      </c>
      <c r="D265" t="s">
        <v>292</v>
      </c>
      <c r="E265">
        <v>821</v>
      </c>
      <c r="F265">
        <v>0</v>
      </c>
      <c r="G265">
        <v>0</v>
      </c>
    </row>
    <row r="266" spans="1:7">
      <c r="A266" t="str">
        <f t="shared" si="18"/>
        <v>456</v>
      </c>
      <c r="B266" t="s">
        <v>284</v>
      </c>
      <c r="C266" t="str">
        <f>"030520"</f>
        <v>030520</v>
      </c>
      <c r="D266" t="s">
        <v>293</v>
      </c>
      <c r="E266">
        <v>3138</v>
      </c>
      <c r="F266">
        <v>0</v>
      </c>
      <c r="G266">
        <v>0</v>
      </c>
    </row>
    <row r="267" spans="1:7">
      <c r="A267" t="str">
        <f t="shared" si="18"/>
        <v>456</v>
      </c>
      <c r="B267" t="s">
        <v>284</v>
      </c>
      <c r="C267" t="str">
        <f>"072130"</f>
        <v>072130</v>
      </c>
      <c r="D267" t="s">
        <v>294</v>
      </c>
      <c r="E267">
        <v>391</v>
      </c>
      <c r="F267">
        <v>0</v>
      </c>
      <c r="G267">
        <v>0</v>
      </c>
    </row>
    <row r="268" spans="1:7">
      <c r="A268" t="str">
        <f t="shared" si="18"/>
        <v>456</v>
      </c>
      <c r="B268" t="s">
        <v>284</v>
      </c>
      <c r="C268" t="str">
        <f>"139670"</f>
        <v>139670</v>
      </c>
      <c r="D268" t="s">
        <v>295</v>
      </c>
      <c r="E268">
        <v>1141</v>
      </c>
      <c r="F268">
        <v>0</v>
      </c>
      <c r="G268">
        <v>0</v>
      </c>
    </row>
    <row r="269" spans="1:7">
      <c r="A269" t="str">
        <f t="shared" si="18"/>
        <v>456</v>
      </c>
      <c r="B269" t="s">
        <v>284</v>
      </c>
      <c r="C269" t="str">
        <f>"108860"</f>
        <v>108860</v>
      </c>
      <c r="D269" t="s">
        <v>296</v>
      </c>
      <c r="E269">
        <v>1452</v>
      </c>
      <c r="F269">
        <v>0</v>
      </c>
      <c r="G269">
        <v>0</v>
      </c>
    </row>
    <row r="270" spans="1:7">
      <c r="A270" t="str">
        <f t="shared" si="18"/>
        <v>456</v>
      </c>
      <c r="B270" t="s">
        <v>284</v>
      </c>
      <c r="C270" t="str">
        <f>"051160"</f>
        <v>051160</v>
      </c>
      <c r="D270" t="s">
        <v>297</v>
      </c>
      <c r="E270">
        <v>1331</v>
      </c>
      <c r="F270">
        <v>0</v>
      </c>
      <c r="G270">
        <v>0</v>
      </c>
    </row>
    <row r="271" spans="1:7">
      <c r="A271" t="str">
        <f t="shared" si="18"/>
        <v>456</v>
      </c>
      <c r="B271" t="s">
        <v>284</v>
      </c>
      <c r="C271" t="str">
        <f>"115450"</f>
        <v>115450</v>
      </c>
      <c r="D271" t="s">
        <v>298</v>
      </c>
      <c r="E271">
        <v>3562</v>
      </c>
      <c r="F271">
        <v>0</v>
      </c>
      <c r="G271">
        <v>0</v>
      </c>
    </row>
    <row r="272" spans="1:7">
      <c r="A272" t="str">
        <f t="shared" ref="A272:A277" si="19">"170"</f>
        <v>170</v>
      </c>
      <c r="B272" t="s">
        <v>299</v>
      </c>
      <c r="C272" t="str">
        <f>"009730"</f>
        <v>009730</v>
      </c>
      <c r="D272" t="s">
        <v>300</v>
      </c>
      <c r="E272">
        <v>377</v>
      </c>
      <c r="F272">
        <v>0</v>
      </c>
      <c r="G272">
        <v>0</v>
      </c>
    </row>
    <row r="273" spans="1:7">
      <c r="A273" t="str">
        <f t="shared" si="19"/>
        <v>170</v>
      </c>
      <c r="B273" t="s">
        <v>299</v>
      </c>
      <c r="C273" t="str">
        <f>"014280"</f>
        <v>014280</v>
      </c>
      <c r="D273" t="s">
        <v>37</v>
      </c>
      <c r="E273">
        <v>1830</v>
      </c>
      <c r="F273">
        <v>0</v>
      </c>
      <c r="G273">
        <v>0</v>
      </c>
    </row>
    <row r="274" spans="1:7">
      <c r="A274" t="str">
        <f t="shared" si="19"/>
        <v>170</v>
      </c>
      <c r="B274" t="s">
        <v>299</v>
      </c>
      <c r="C274" t="str">
        <f>"008970"</f>
        <v>008970</v>
      </c>
      <c r="D274" t="s">
        <v>301</v>
      </c>
      <c r="E274">
        <v>1095</v>
      </c>
      <c r="F274">
        <v>0</v>
      </c>
      <c r="G274">
        <v>0</v>
      </c>
    </row>
    <row r="275" spans="1:7">
      <c r="A275" t="str">
        <f t="shared" si="19"/>
        <v>170</v>
      </c>
      <c r="B275" t="s">
        <v>299</v>
      </c>
      <c r="C275" t="str">
        <f>"071090"</f>
        <v>071090</v>
      </c>
      <c r="D275" t="s">
        <v>302</v>
      </c>
      <c r="E275">
        <v>674</v>
      </c>
      <c r="F275">
        <v>0</v>
      </c>
      <c r="G275">
        <v>0</v>
      </c>
    </row>
    <row r="276" spans="1:7">
      <c r="A276" t="str">
        <f t="shared" si="19"/>
        <v>170</v>
      </c>
      <c r="B276" t="s">
        <v>299</v>
      </c>
      <c r="C276" t="str">
        <f>"005010"</f>
        <v>005010</v>
      </c>
      <c r="D276" t="s">
        <v>303</v>
      </c>
      <c r="E276">
        <v>2888</v>
      </c>
      <c r="F276">
        <v>0</v>
      </c>
      <c r="G276">
        <v>0</v>
      </c>
    </row>
    <row r="277" spans="1:7">
      <c r="A277" t="str">
        <f t="shared" si="19"/>
        <v>170</v>
      </c>
      <c r="B277" t="s">
        <v>299</v>
      </c>
      <c r="C277" t="str">
        <f>"003030"</f>
        <v>003030</v>
      </c>
      <c r="D277" t="s">
        <v>304</v>
      </c>
      <c r="E277">
        <v>5840</v>
      </c>
      <c r="F277">
        <v>0</v>
      </c>
      <c r="G277">
        <v>0</v>
      </c>
    </row>
    <row r="278" spans="1:7">
      <c r="A278" t="str">
        <f>"180"</f>
        <v>180</v>
      </c>
      <c r="B278" t="s">
        <v>305</v>
      </c>
      <c r="C278" t="str">
        <f>"011280"</f>
        <v>011280</v>
      </c>
      <c r="D278" t="s">
        <v>306</v>
      </c>
      <c r="E278">
        <v>2156</v>
      </c>
      <c r="F278">
        <v>0</v>
      </c>
      <c r="G278">
        <v>0</v>
      </c>
    </row>
    <row r="279" spans="1:7">
      <c r="A279" t="str">
        <f>"180"</f>
        <v>180</v>
      </c>
      <c r="B279" t="s">
        <v>305</v>
      </c>
      <c r="C279" t="str">
        <f>"002310"</f>
        <v>002310</v>
      </c>
      <c r="D279" t="s">
        <v>307</v>
      </c>
      <c r="E279">
        <v>3502</v>
      </c>
      <c r="F279">
        <v>0</v>
      </c>
      <c r="G279">
        <v>0</v>
      </c>
    </row>
    <row r="280" spans="1:7">
      <c r="A280" t="str">
        <f>"180"</f>
        <v>180</v>
      </c>
      <c r="B280" t="s">
        <v>305</v>
      </c>
      <c r="C280" t="str">
        <f>"002200"</f>
        <v>002200</v>
      </c>
      <c r="D280" t="s">
        <v>308</v>
      </c>
      <c r="E280">
        <v>1128</v>
      </c>
      <c r="F280">
        <v>0</v>
      </c>
      <c r="G280">
        <v>0</v>
      </c>
    </row>
    <row r="281" spans="1:7">
      <c r="A281" t="str">
        <f>"180"</f>
        <v>180</v>
      </c>
      <c r="B281" t="s">
        <v>305</v>
      </c>
      <c r="C281" t="str">
        <f>"016590"</f>
        <v>016590</v>
      </c>
      <c r="D281" t="s">
        <v>309</v>
      </c>
      <c r="E281">
        <v>3454</v>
      </c>
      <c r="F281">
        <v>0</v>
      </c>
      <c r="G281">
        <v>0</v>
      </c>
    </row>
    <row r="282" spans="1:7">
      <c r="A282" t="str">
        <f t="shared" ref="A282:A305" si="20">"900"</f>
        <v>900</v>
      </c>
      <c r="B282" t="s">
        <v>310</v>
      </c>
      <c r="C282" t="str">
        <f>"096610"</f>
        <v>096610</v>
      </c>
      <c r="D282" t="s">
        <v>221</v>
      </c>
      <c r="E282">
        <v>266</v>
      </c>
      <c r="F282">
        <v>0</v>
      </c>
      <c r="G282">
        <v>0</v>
      </c>
    </row>
    <row r="283" spans="1:7">
      <c r="A283" t="str">
        <f t="shared" si="20"/>
        <v>900</v>
      </c>
      <c r="B283" t="s">
        <v>310</v>
      </c>
      <c r="C283" t="str">
        <f>"063080"</f>
        <v>063080</v>
      </c>
      <c r="D283" t="s">
        <v>57</v>
      </c>
      <c r="E283">
        <v>2651</v>
      </c>
      <c r="F283">
        <v>0</v>
      </c>
      <c r="G283">
        <v>0</v>
      </c>
    </row>
    <row r="284" spans="1:7">
      <c r="A284" t="str">
        <f t="shared" si="20"/>
        <v>900</v>
      </c>
      <c r="B284" t="s">
        <v>310</v>
      </c>
      <c r="C284" t="str">
        <f>"123330"</f>
        <v>123330</v>
      </c>
      <c r="D284" t="s">
        <v>246</v>
      </c>
      <c r="E284">
        <v>316</v>
      </c>
      <c r="F284">
        <v>0</v>
      </c>
      <c r="G284">
        <v>0</v>
      </c>
    </row>
    <row r="285" spans="1:7">
      <c r="A285" t="str">
        <f t="shared" si="20"/>
        <v>900</v>
      </c>
      <c r="B285" t="s">
        <v>310</v>
      </c>
      <c r="C285" t="str">
        <f>"101390"</f>
        <v>101390</v>
      </c>
      <c r="D285" t="s">
        <v>311</v>
      </c>
      <c r="E285">
        <v>399</v>
      </c>
      <c r="F285">
        <v>0</v>
      </c>
      <c r="G285">
        <v>0</v>
      </c>
    </row>
    <row r="286" spans="1:7">
      <c r="A286" t="str">
        <f t="shared" si="20"/>
        <v>900</v>
      </c>
      <c r="B286" t="s">
        <v>310</v>
      </c>
      <c r="C286" t="str">
        <f>"096530"</f>
        <v>096530</v>
      </c>
      <c r="D286" t="s">
        <v>223</v>
      </c>
      <c r="E286">
        <v>14493</v>
      </c>
      <c r="F286">
        <v>0</v>
      </c>
      <c r="G286">
        <v>0</v>
      </c>
    </row>
    <row r="287" spans="1:7">
      <c r="A287" t="str">
        <f t="shared" si="20"/>
        <v>900</v>
      </c>
      <c r="B287" t="s">
        <v>310</v>
      </c>
      <c r="C287" t="str">
        <f>"114630"</f>
        <v>114630</v>
      </c>
      <c r="D287" t="s">
        <v>224</v>
      </c>
      <c r="E287">
        <v>499</v>
      </c>
      <c r="F287">
        <v>0</v>
      </c>
      <c r="G287">
        <v>0</v>
      </c>
    </row>
    <row r="288" spans="1:7">
      <c r="A288" t="str">
        <f t="shared" si="20"/>
        <v>900</v>
      </c>
      <c r="B288" t="s">
        <v>310</v>
      </c>
      <c r="C288" t="str">
        <f>"109860"</f>
        <v>109860</v>
      </c>
      <c r="D288" t="s">
        <v>227</v>
      </c>
      <c r="E288">
        <v>1852</v>
      </c>
      <c r="F288">
        <v>0</v>
      </c>
      <c r="G288">
        <v>0</v>
      </c>
    </row>
    <row r="289" spans="1:7">
      <c r="A289" t="str">
        <f t="shared" si="20"/>
        <v>900</v>
      </c>
      <c r="B289" t="s">
        <v>310</v>
      </c>
      <c r="C289" t="str">
        <f>"052330"</f>
        <v>052330</v>
      </c>
      <c r="D289" t="s">
        <v>312</v>
      </c>
      <c r="E289">
        <v>1397</v>
      </c>
      <c r="F289">
        <v>0</v>
      </c>
      <c r="G289">
        <v>0</v>
      </c>
    </row>
    <row r="290" spans="1:7">
      <c r="A290" t="str">
        <f t="shared" si="20"/>
        <v>900</v>
      </c>
      <c r="B290" t="s">
        <v>310</v>
      </c>
      <c r="C290" t="str">
        <f>"098460"</f>
        <v>098460</v>
      </c>
      <c r="D290" t="s">
        <v>155</v>
      </c>
      <c r="E290">
        <v>9028</v>
      </c>
      <c r="F290">
        <v>0</v>
      </c>
      <c r="G290">
        <v>0</v>
      </c>
    </row>
    <row r="291" spans="1:7">
      <c r="A291" t="str">
        <f t="shared" si="20"/>
        <v>900</v>
      </c>
      <c r="B291" t="s">
        <v>310</v>
      </c>
      <c r="C291" t="str">
        <f>"094840"</f>
        <v>094840</v>
      </c>
      <c r="D291" t="s">
        <v>228</v>
      </c>
      <c r="E291">
        <v>556</v>
      </c>
      <c r="F291">
        <v>0</v>
      </c>
      <c r="G291">
        <v>0</v>
      </c>
    </row>
    <row r="292" spans="1:7">
      <c r="A292" t="str">
        <f t="shared" si="20"/>
        <v>900</v>
      </c>
      <c r="B292" t="s">
        <v>310</v>
      </c>
      <c r="C292" t="str">
        <f>"086900"</f>
        <v>086900</v>
      </c>
      <c r="D292" t="s">
        <v>313</v>
      </c>
      <c r="E292">
        <v>8348</v>
      </c>
      <c r="F292">
        <v>0</v>
      </c>
      <c r="G292">
        <v>0</v>
      </c>
    </row>
    <row r="293" spans="1:7">
      <c r="A293" t="str">
        <f t="shared" si="20"/>
        <v>900</v>
      </c>
      <c r="B293" t="s">
        <v>310</v>
      </c>
      <c r="C293" t="str">
        <f>"101400"</f>
        <v>101400</v>
      </c>
      <c r="D293" t="s">
        <v>314</v>
      </c>
      <c r="E293">
        <v>333</v>
      </c>
      <c r="F293">
        <v>0</v>
      </c>
      <c r="G293">
        <v>0</v>
      </c>
    </row>
    <row r="294" spans="1:7">
      <c r="A294" t="str">
        <f t="shared" si="20"/>
        <v>900</v>
      </c>
      <c r="B294" t="s">
        <v>310</v>
      </c>
      <c r="C294" t="str">
        <f>"092600"</f>
        <v>092600</v>
      </c>
      <c r="D294" t="s">
        <v>315</v>
      </c>
      <c r="E294">
        <v>379</v>
      </c>
      <c r="F294">
        <v>0</v>
      </c>
      <c r="G294">
        <v>0</v>
      </c>
    </row>
    <row r="295" spans="1:7">
      <c r="A295" t="str">
        <f t="shared" si="20"/>
        <v>900</v>
      </c>
      <c r="B295" t="s">
        <v>310</v>
      </c>
      <c r="C295" t="str">
        <f>"114120"</f>
        <v>114120</v>
      </c>
      <c r="D295" t="s">
        <v>316</v>
      </c>
      <c r="E295">
        <v>249</v>
      </c>
      <c r="F295">
        <v>0</v>
      </c>
      <c r="G295">
        <v>0</v>
      </c>
    </row>
    <row r="296" spans="1:7">
      <c r="A296" t="str">
        <f t="shared" si="20"/>
        <v>900</v>
      </c>
      <c r="B296" t="s">
        <v>310</v>
      </c>
      <c r="C296" t="str">
        <f>"100120"</f>
        <v>100120</v>
      </c>
      <c r="D296" t="s">
        <v>230</v>
      </c>
      <c r="E296">
        <v>2986</v>
      </c>
      <c r="F296">
        <v>0</v>
      </c>
      <c r="G296">
        <v>0</v>
      </c>
    </row>
    <row r="297" spans="1:7">
      <c r="A297" t="str">
        <f t="shared" si="20"/>
        <v>900</v>
      </c>
      <c r="B297" t="s">
        <v>310</v>
      </c>
      <c r="C297" t="str">
        <f>"073110"</f>
        <v>073110</v>
      </c>
      <c r="D297" t="s">
        <v>232</v>
      </c>
      <c r="E297">
        <v>600</v>
      </c>
      <c r="F297">
        <v>0</v>
      </c>
      <c r="G297">
        <v>0</v>
      </c>
    </row>
    <row r="298" spans="1:7">
      <c r="A298" t="str">
        <f t="shared" si="20"/>
        <v>900</v>
      </c>
      <c r="B298" t="s">
        <v>310</v>
      </c>
      <c r="C298" t="str">
        <f>"102710"</f>
        <v>102710</v>
      </c>
      <c r="D298" t="s">
        <v>146</v>
      </c>
      <c r="E298">
        <v>2950</v>
      </c>
      <c r="F298">
        <v>0</v>
      </c>
      <c r="G298">
        <v>0</v>
      </c>
    </row>
    <row r="299" spans="1:7">
      <c r="A299" t="str">
        <f t="shared" si="20"/>
        <v>900</v>
      </c>
      <c r="B299" t="s">
        <v>310</v>
      </c>
      <c r="C299" t="str">
        <f>"039030"</f>
        <v>039030</v>
      </c>
      <c r="D299" t="s">
        <v>234</v>
      </c>
      <c r="E299">
        <v>8279</v>
      </c>
      <c r="F299">
        <v>0</v>
      </c>
      <c r="G299">
        <v>0</v>
      </c>
    </row>
    <row r="300" spans="1:7">
      <c r="A300" t="str">
        <f t="shared" si="20"/>
        <v>900</v>
      </c>
      <c r="B300" t="s">
        <v>310</v>
      </c>
      <c r="C300" t="str">
        <f>"030530"</f>
        <v>030530</v>
      </c>
      <c r="D300" t="s">
        <v>65</v>
      </c>
      <c r="E300">
        <v>2657</v>
      </c>
      <c r="F300">
        <v>0</v>
      </c>
      <c r="G300">
        <v>0</v>
      </c>
    </row>
    <row r="301" spans="1:7">
      <c r="A301" t="str">
        <f t="shared" si="20"/>
        <v>900</v>
      </c>
      <c r="B301" t="s">
        <v>310</v>
      </c>
      <c r="C301" t="str">
        <f>"041830"</f>
        <v>041830</v>
      </c>
      <c r="D301" t="s">
        <v>235</v>
      </c>
      <c r="E301">
        <v>2689</v>
      </c>
      <c r="F301">
        <v>0</v>
      </c>
      <c r="G301">
        <v>0</v>
      </c>
    </row>
    <row r="302" spans="1:7">
      <c r="A302" t="str">
        <f t="shared" si="20"/>
        <v>900</v>
      </c>
      <c r="B302" t="s">
        <v>310</v>
      </c>
      <c r="C302" t="str">
        <f>"054950"</f>
        <v>054950</v>
      </c>
      <c r="D302" t="s">
        <v>174</v>
      </c>
      <c r="E302">
        <v>2503</v>
      </c>
      <c r="F302">
        <v>0</v>
      </c>
      <c r="G302">
        <v>0</v>
      </c>
    </row>
    <row r="303" spans="1:7">
      <c r="A303" t="str">
        <f t="shared" si="20"/>
        <v>900</v>
      </c>
      <c r="B303" t="s">
        <v>310</v>
      </c>
      <c r="C303" t="str">
        <f>"095500"</f>
        <v>095500</v>
      </c>
      <c r="D303" t="s">
        <v>317</v>
      </c>
      <c r="E303">
        <v>4605</v>
      </c>
      <c r="F303">
        <v>0</v>
      </c>
      <c r="G303">
        <v>0</v>
      </c>
    </row>
    <row r="304" spans="1:7">
      <c r="A304" t="str">
        <f t="shared" si="20"/>
        <v>900</v>
      </c>
      <c r="B304" t="s">
        <v>310</v>
      </c>
      <c r="C304" t="str">
        <f>"088390"</f>
        <v>088390</v>
      </c>
      <c r="D304" t="s">
        <v>237</v>
      </c>
      <c r="E304">
        <v>2131</v>
      </c>
      <c r="F304">
        <v>0</v>
      </c>
      <c r="G304">
        <v>0</v>
      </c>
    </row>
    <row r="305" spans="1:9">
      <c r="A305" t="str">
        <f t="shared" si="20"/>
        <v>900</v>
      </c>
      <c r="B305" t="s">
        <v>310</v>
      </c>
      <c r="C305" t="str">
        <f>"126700"</f>
        <v>126700</v>
      </c>
      <c r="D305" t="s">
        <v>238</v>
      </c>
      <c r="E305">
        <v>2817</v>
      </c>
      <c r="F305">
        <v>0</v>
      </c>
      <c r="G305">
        <v>0</v>
      </c>
    </row>
    <row r="306" spans="1:9">
      <c r="A306" t="str">
        <f t="shared" ref="A306:A314" si="21">"213"</f>
        <v>213</v>
      </c>
      <c r="B306" t="s">
        <v>318</v>
      </c>
      <c r="C306" t="str">
        <f>"090360"</f>
        <v>090360</v>
      </c>
      <c r="D306" t="s">
        <v>319</v>
      </c>
      <c r="E306">
        <v>1965</v>
      </c>
      <c r="F306">
        <v>0</v>
      </c>
      <c r="G306">
        <v>0</v>
      </c>
    </row>
    <row r="307" spans="1:9" ht="82.5">
      <c r="A307" t="str">
        <f t="shared" si="21"/>
        <v>213</v>
      </c>
      <c r="B307" t="s">
        <v>318</v>
      </c>
      <c r="C307" t="str">
        <f>"277810"</f>
        <v>277810</v>
      </c>
      <c r="D307" t="s">
        <v>320</v>
      </c>
      <c r="E307">
        <v>1412</v>
      </c>
      <c r="F307">
        <v>0</v>
      </c>
      <c r="G307">
        <v>0</v>
      </c>
      <c r="H307" s="1" t="s">
        <v>321</v>
      </c>
      <c r="I307" t="s">
        <v>322</v>
      </c>
    </row>
    <row r="308" spans="1:9">
      <c r="A308" t="str">
        <f t="shared" si="21"/>
        <v>213</v>
      </c>
      <c r="B308" t="s">
        <v>318</v>
      </c>
      <c r="C308" t="str">
        <f>"056080"</f>
        <v>056080</v>
      </c>
      <c r="D308" t="s">
        <v>323</v>
      </c>
      <c r="E308">
        <v>1500</v>
      </c>
      <c r="F308">
        <v>0</v>
      </c>
      <c r="G308">
        <v>0</v>
      </c>
    </row>
    <row r="309" spans="1:9">
      <c r="A309" t="str">
        <f t="shared" si="21"/>
        <v>213</v>
      </c>
      <c r="B309" t="s">
        <v>318</v>
      </c>
      <c r="C309" t="str">
        <f>"095190"</f>
        <v>095190</v>
      </c>
      <c r="D309" t="s">
        <v>324</v>
      </c>
      <c r="E309">
        <v>1290</v>
      </c>
      <c r="F309">
        <v>0</v>
      </c>
      <c r="G309">
        <v>0</v>
      </c>
    </row>
    <row r="310" spans="1:9">
      <c r="A310" t="str">
        <f t="shared" si="21"/>
        <v>213</v>
      </c>
      <c r="B310" t="s">
        <v>318</v>
      </c>
      <c r="C310" t="str">
        <f>"090710"</f>
        <v>090710</v>
      </c>
      <c r="D310" t="s">
        <v>325</v>
      </c>
      <c r="E310">
        <v>2850</v>
      </c>
      <c r="F310">
        <v>0</v>
      </c>
      <c r="G310">
        <v>0</v>
      </c>
    </row>
    <row r="311" spans="1:9">
      <c r="A311" t="str">
        <f t="shared" si="21"/>
        <v>213</v>
      </c>
      <c r="B311" t="s">
        <v>318</v>
      </c>
      <c r="C311" t="str">
        <f>"004380"</f>
        <v>004380</v>
      </c>
      <c r="D311" t="s">
        <v>326</v>
      </c>
      <c r="E311">
        <v>2436</v>
      </c>
      <c r="F311">
        <v>0</v>
      </c>
      <c r="G311">
        <v>0</v>
      </c>
    </row>
    <row r="312" spans="1:9">
      <c r="A312" t="str">
        <f t="shared" si="21"/>
        <v>213</v>
      </c>
      <c r="B312" t="s">
        <v>318</v>
      </c>
      <c r="C312" t="str">
        <f>"049950"</f>
        <v>049950</v>
      </c>
      <c r="D312" t="s">
        <v>327</v>
      </c>
      <c r="E312">
        <v>1524</v>
      </c>
      <c r="F312">
        <v>0</v>
      </c>
      <c r="G312">
        <v>0</v>
      </c>
    </row>
    <row r="313" spans="1:9">
      <c r="A313" t="str">
        <f t="shared" si="21"/>
        <v>213</v>
      </c>
      <c r="B313" t="s">
        <v>318</v>
      </c>
      <c r="C313" t="str">
        <f>"099440"</f>
        <v>099440</v>
      </c>
      <c r="D313" t="s">
        <v>328</v>
      </c>
      <c r="E313">
        <v>581</v>
      </c>
      <c r="F313">
        <v>0</v>
      </c>
      <c r="G313">
        <v>0</v>
      </c>
    </row>
    <row r="314" spans="1:9">
      <c r="A314" t="str">
        <f t="shared" si="21"/>
        <v>213</v>
      </c>
      <c r="B314" t="s">
        <v>318</v>
      </c>
      <c r="C314" t="str">
        <f>"010820"</f>
        <v>010820</v>
      </c>
      <c r="D314" t="s">
        <v>329</v>
      </c>
      <c r="E314">
        <v>1533</v>
      </c>
      <c r="F314">
        <v>0</v>
      </c>
      <c r="G314">
        <v>0</v>
      </c>
    </row>
    <row r="315" spans="1:9">
      <c r="A315" t="str">
        <f t="shared" ref="A315:A321" si="22">"281"</f>
        <v>281</v>
      </c>
      <c r="B315" t="s">
        <v>330</v>
      </c>
      <c r="C315" t="str">
        <f>"122450"</f>
        <v>122450</v>
      </c>
      <c r="D315" t="s">
        <v>331</v>
      </c>
      <c r="E315">
        <v>2652</v>
      </c>
      <c r="F315">
        <v>0</v>
      </c>
      <c r="G315">
        <v>0</v>
      </c>
    </row>
    <row r="316" spans="1:9">
      <c r="A316" t="str">
        <f t="shared" si="22"/>
        <v>281</v>
      </c>
      <c r="B316" t="s">
        <v>330</v>
      </c>
      <c r="C316" t="str">
        <f>"032640"</f>
        <v>032640</v>
      </c>
      <c r="D316" t="s">
        <v>332</v>
      </c>
      <c r="E316">
        <v>48027</v>
      </c>
      <c r="F316">
        <v>0</v>
      </c>
      <c r="G316">
        <v>0</v>
      </c>
    </row>
    <row r="317" spans="1:9">
      <c r="A317" t="str">
        <f t="shared" si="22"/>
        <v>281</v>
      </c>
      <c r="B317" t="s">
        <v>330</v>
      </c>
      <c r="C317" t="str">
        <f>"126560"</f>
        <v>126560</v>
      </c>
      <c r="D317" t="s">
        <v>333</v>
      </c>
      <c r="E317">
        <v>2711</v>
      </c>
      <c r="F317">
        <v>0</v>
      </c>
      <c r="G317">
        <v>0</v>
      </c>
    </row>
    <row r="318" spans="1:9">
      <c r="A318" t="str">
        <f t="shared" si="22"/>
        <v>281</v>
      </c>
      <c r="B318" t="s">
        <v>330</v>
      </c>
      <c r="C318" t="str">
        <f>"030200"</f>
        <v>030200</v>
      </c>
      <c r="D318" t="s">
        <v>334</v>
      </c>
      <c r="E318">
        <v>88125</v>
      </c>
      <c r="F318">
        <v>0</v>
      </c>
      <c r="G318">
        <v>0</v>
      </c>
    </row>
    <row r="319" spans="1:9">
      <c r="A319" t="str">
        <f t="shared" si="22"/>
        <v>281</v>
      </c>
      <c r="B319" t="s">
        <v>330</v>
      </c>
      <c r="C319" t="str">
        <f>"053210"</f>
        <v>053210</v>
      </c>
      <c r="D319" t="s">
        <v>335</v>
      </c>
      <c r="E319">
        <v>3883</v>
      </c>
      <c r="F319">
        <v>0</v>
      </c>
      <c r="G319">
        <v>0</v>
      </c>
    </row>
    <row r="320" spans="1:9">
      <c r="A320" t="str">
        <f t="shared" si="22"/>
        <v>281</v>
      </c>
      <c r="B320" t="s">
        <v>330</v>
      </c>
      <c r="C320" t="str">
        <f>"003240"</f>
        <v>003240</v>
      </c>
      <c r="D320" t="s">
        <v>336</v>
      </c>
      <c r="E320">
        <v>7972</v>
      </c>
      <c r="F320">
        <v>0</v>
      </c>
      <c r="G320">
        <v>0</v>
      </c>
    </row>
    <row r="321" spans="1:7">
      <c r="A321" t="str">
        <f t="shared" si="22"/>
        <v>281</v>
      </c>
      <c r="B321" t="s">
        <v>330</v>
      </c>
      <c r="C321" t="str">
        <f>"037560"</f>
        <v>037560</v>
      </c>
      <c r="D321" t="s">
        <v>337</v>
      </c>
      <c r="E321">
        <v>3439</v>
      </c>
      <c r="F321">
        <v>0</v>
      </c>
      <c r="G321">
        <v>0</v>
      </c>
    </row>
    <row r="322" spans="1:7">
      <c r="A322" t="str">
        <f>"571"</f>
        <v>571</v>
      </c>
      <c r="B322" t="s">
        <v>338</v>
      </c>
      <c r="C322" t="str">
        <f>"077360"</f>
        <v>077360</v>
      </c>
      <c r="D322" t="s">
        <v>125</v>
      </c>
      <c r="E322">
        <v>2281</v>
      </c>
      <c r="F322">
        <v>0</v>
      </c>
      <c r="G322">
        <v>0</v>
      </c>
    </row>
    <row r="323" spans="1:7">
      <c r="A323" t="str">
        <f>"571"</f>
        <v>571</v>
      </c>
      <c r="B323" t="s">
        <v>338</v>
      </c>
      <c r="C323" t="str">
        <f>"104830"</f>
        <v>104830</v>
      </c>
      <c r="D323" t="s">
        <v>145</v>
      </c>
      <c r="E323">
        <v>3707</v>
      </c>
      <c r="F323">
        <v>0</v>
      </c>
      <c r="G323">
        <v>0</v>
      </c>
    </row>
    <row r="324" spans="1:7">
      <c r="A324" t="str">
        <f>"571"</f>
        <v>571</v>
      </c>
      <c r="B324" t="s">
        <v>338</v>
      </c>
      <c r="C324" t="str">
        <f>"121600"</f>
        <v>121600</v>
      </c>
      <c r="D324" t="s">
        <v>339</v>
      </c>
      <c r="E324">
        <v>8353</v>
      </c>
      <c r="F324">
        <v>0</v>
      </c>
      <c r="G324">
        <v>0</v>
      </c>
    </row>
    <row r="325" spans="1:7">
      <c r="A325" t="str">
        <f>"571"</f>
        <v>571</v>
      </c>
      <c r="B325" t="s">
        <v>338</v>
      </c>
      <c r="C325" t="str">
        <f>"159910"</f>
        <v>159910</v>
      </c>
      <c r="D325" t="s">
        <v>340</v>
      </c>
      <c r="E325">
        <v>797</v>
      </c>
      <c r="F325">
        <v>0</v>
      </c>
      <c r="G325">
        <v>0</v>
      </c>
    </row>
    <row r="326" spans="1:7">
      <c r="A326" t="str">
        <f t="shared" ref="A326:A338" si="23">"211"</f>
        <v>211</v>
      </c>
      <c r="B326" t="s">
        <v>341</v>
      </c>
      <c r="C326" t="str">
        <f>"049800"</f>
        <v>049800</v>
      </c>
      <c r="D326" t="s">
        <v>111</v>
      </c>
      <c r="E326">
        <v>719</v>
      </c>
      <c r="F326">
        <v>0</v>
      </c>
      <c r="G326">
        <v>0</v>
      </c>
    </row>
    <row r="327" spans="1:7">
      <c r="A327" t="str">
        <f t="shared" si="23"/>
        <v>211</v>
      </c>
      <c r="B327" t="s">
        <v>341</v>
      </c>
      <c r="C327" t="str">
        <f>"010660"</f>
        <v>010660</v>
      </c>
      <c r="D327" t="s">
        <v>342</v>
      </c>
      <c r="E327">
        <v>702</v>
      </c>
      <c r="F327">
        <v>0</v>
      </c>
      <c r="G327">
        <v>0</v>
      </c>
    </row>
    <row r="328" spans="1:7">
      <c r="A328" t="str">
        <f t="shared" si="23"/>
        <v>211</v>
      </c>
      <c r="B328" t="s">
        <v>341</v>
      </c>
      <c r="C328" t="str">
        <f>"081000"</f>
        <v>081000</v>
      </c>
      <c r="D328" t="s">
        <v>343</v>
      </c>
      <c r="E328">
        <v>2301</v>
      </c>
      <c r="F328">
        <v>0</v>
      </c>
      <c r="G328">
        <v>0</v>
      </c>
    </row>
    <row r="329" spans="1:7">
      <c r="A329" t="str">
        <f t="shared" si="23"/>
        <v>211</v>
      </c>
      <c r="B329" t="s">
        <v>341</v>
      </c>
      <c r="C329" t="str">
        <f>"019210"</f>
        <v>019210</v>
      </c>
      <c r="D329" t="s">
        <v>344</v>
      </c>
      <c r="E329">
        <v>1941</v>
      </c>
      <c r="F329">
        <v>0</v>
      </c>
      <c r="G329">
        <v>0</v>
      </c>
    </row>
    <row r="330" spans="1:7">
      <c r="A330" t="str">
        <f t="shared" si="23"/>
        <v>211</v>
      </c>
      <c r="B330" t="s">
        <v>341</v>
      </c>
      <c r="C330" t="str">
        <f>"095190"</f>
        <v>095190</v>
      </c>
      <c r="D330" t="s">
        <v>324</v>
      </c>
      <c r="E330">
        <v>1290</v>
      </c>
      <c r="F330">
        <v>0</v>
      </c>
      <c r="G330">
        <v>0</v>
      </c>
    </row>
    <row r="331" spans="1:7">
      <c r="A331" t="str">
        <f t="shared" si="23"/>
        <v>211</v>
      </c>
      <c r="B331" t="s">
        <v>341</v>
      </c>
      <c r="C331" t="str">
        <f>"044780"</f>
        <v>044780</v>
      </c>
      <c r="D331" t="s">
        <v>345</v>
      </c>
      <c r="E331">
        <v>370</v>
      </c>
      <c r="F331">
        <v>0</v>
      </c>
      <c r="G331">
        <v>0</v>
      </c>
    </row>
    <row r="332" spans="1:7">
      <c r="A332" t="str">
        <f t="shared" si="23"/>
        <v>211</v>
      </c>
      <c r="B332" t="s">
        <v>341</v>
      </c>
      <c r="C332" t="str">
        <f>"101680"</f>
        <v>101680</v>
      </c>
      <c r="D332" t="s">
        <v>346</v>
      </c>
      <c r="E332">
        <v>121</v>
      </c>
      <c r="F332">
        <v>0</v>
      </c>
      <c r="G332">
        <v>0</v>
      </c>
    </row>
    <row r="333" spans="1:7">
      <c r="A333" t="str">
        <f t="shared" si="23"/>
        <v>211</v>
      </c>
      <c r="B333" t="s">
        <v>341</v>
      </c>
      <c r="C333" t="str">
        <f>"000850"</f>
        <v>000850</v>
      </c>
      <c r="D333" t="s">
        <v>347</v>
      </c>
      <c r="E333">
        <v>674</v>
      </c>
      <c r="F333">
        <v>0</v>
      </c>
      <c r="G333">
        <v>0</v>
      </c>
    </row>
    <row r="334" spans="1:7">
      <c r="A334" t="str">
        <f t="shared" si="23"/>
        <v>211</v>
      </c>
      <c r="B334" t="s">
        <v>341</v>
      </c>
      <c r="C334" t="str">
        <f>"089140"</f>
        <v>089140</v>
      </c>
      <c r="D334" t="s">
        <v>348</v>
      </c>
      <c r="E334">
        <v>672</v>
      </c>
      <c r="F334">
        <v>0</v>
      </c>
      <c r="G334">
        <v>0</v>
      </c>
    </row>
    <row r="335" spans="1:7">
      <c r="A335" t="str">
        <f t="shared" si="23"/>
        <v>211</v>
      </c>
      <c r="B335" t="s">
        <v>341</v>
      </c>
      <c r="C335" t="str">
        <f>"011210"</f>
        <v>011210</v>
      </c>
      <c r="D335" t="s">
        <v>349</v>
      </c>
      <c r="E335">
        <v>13679</v>
      </c>
      <c r="F335">
        <v>0</v>
      </c>
      <c r="G335">
        <v>0</v>
      </c>
    </row>
    <row r="336" spans="1:7">
      <c r="A336" t="str">
        <f t="shared" si="23"/>
        <v>211</v>
      </c>
      <c r="B336" t="s">
        <v>341</v>
      </c>
      <c r="C336" t="str">
        <f>"009160"</f>
        <v>009160</v>
      </c>
      <c r="D336" t="s">
        <v>350</v>
      </c>
      <c r="E336">
        <v>3111</v>
      </c>
      <c r="F336">
        <v>0</v>
      </c>
      <c r="G336">
        <v>0</v>
      </c>
    </row>
    <row r="337" spans="1:7">
      <c r="A337" t="str">
        <f t="shared" si="23"/>
        <v>211</v>
      </c>
      <c r="B337" t="s">
        <v>341</v>
      </c>
      <c r="C337" t="str">
        <f>"042670"</f>
        <v>042670</v>
      </c>
      <c r="D337" t="s">
        <v>273</v>
      </c>
      <c r="E337">
        <v>14259</v>
      </c>
      <c r="F337">
        <v>0</v>
      </c>
      <c r="G337">
        <v>0</v>
      </c>
    </row>
    <row r="338" spans="1:7">
      <c r="A338" t="str">
        <f t="shared" si="23"/>
        <v>211</v>
      </c>
      <c r="B338" t="s">
        <v>341</v>
      </c>
      <c r="C338" t="str">
        <f>"099440"</f>
        <v>099440</v>
      </c>
      <c r="D338" t="s">
        <v>328</v>
      </c>
      <c r="E338">
        <v>581</v>
      </c>
      <c r="F338">
        <v>0</v>
      </c>
      <c r="G338">
        <v>0</v>
      </c>
    </row>
    <row r="339" spans="1:7">
      <c r="A339" t="str">
        <f>"530"</f>
        <v>530</v>
      </c>
      <c r="B339" t="s">
        <v>351</v>
      </c>
      <c r="C339" t="str">
        <f>"064240"</f>
        <v>064240</v>
      </c>
      <c r="D339" t="s">
        <v>352</v>
      </c>
      <c r="E339">
        <v>1510</v>
      </c>
      <c r="F339">
        <v>0</v>
      </c>
      <c r="G339">
        <v>0</v>
      </c>
    </row>
    <row r="340" spans="1:7">
      <c r="A340" t="str">
        <f>"530"</f>
        <v>530</v>
      </c>
      <c r="B340" t="s">
        <v>351</v>
      </c>
      <c r="C340" t="str">
        <f>"115160"</f>
        <v>115160</v>
      </c>
      <c r="D340" t="s">
        <v>353</v>
      </c>
      <c r="E340">
        <v>1486</v>
      </c>
      <c r="F340">
        <v>0</v>
      </c>
      <c r="G340">
        <v>0</v>
      </c>
    </row>
    <row r="341" spans="1:7">
      <c r="A341" t="str">
        <f>"530"</f>
        <v>530</v>
      </c>
      <c r="B341" t="s">
        <v>351</v>
      </c>
      <c r="C341" t="str">
        <f>"057880"</f>
        <v>057880</v>
      </c>
      <c r="D341" t="s">
        <v>354</v>
      </c>
      <c r="E341">
        <v>2067</v>
      </c>
      <c r="F341">
        <v>0</v>
      </c>
      <c r="G341">
        <v>0</v>
      </c>
    </row>
    <row r="342" spans="1:7">
      <c r="A342" t="str">
        <f>"530"</f>
        <v>530</v>
      </c>
      <c r="B342" t="s">
        <v>351</v>
      </c>
      <c r="C342" t="str">
        <f>"058220"</f>
        <v>058220</v>
      </c>
      <c r="D342" t="s">
        <v>355</v>
      </c>
      <c r="E342">
        <v>107</v>
      </c>
      <c r="F342">
        <v>0</v>
      </c>
      <c r="G342">
        <v>0</v>
      </c>
    </row>
    <row r="343" spans="1:7">
      <c r="A343" t="str">
        <f>"530"</f>
        <v>530</v>
      </c>
      <c r="B343" t="s">
        <v>351</v>
      </c>
      <c r="C343" t="str">
        <f>"078890"</f>
        <v>078890</v>
      </c>
      <c r="D343" t="s">
        <v>356</v>
      </c>
      <c r="E343">
        <v>1171</v>
      </c>
      <c r="F343">
        <v>0</v>
      </c>
      <c r="G343">
        <v>0</v>
      </c>
    </row>
    <row r="344" spans="1:7">
      <c r="A344" t="str">
        <f t="shared" ref="A344:A352" si="24">"572"</f>
        <v>572</v>
      </c>
      <c r="B344" t="s">
        <v>357</v>
      </c>
      <c r="C344" t="str">
        <f>"001210"</f>
        <v>001210</v>
      </c>
      <c r="D344" t="s">
        <v>358</v>
      </c>
      <c r="E344">
        <v>255</v>
      </c>
      <c r="F344">
        <v>0</v>
      </c>
      <c r="G344">
        <v>0</v>
      </c>
    </row>
    <row r="345" spans="1:7">
      <c r="A345" t="str">
        <f t="shared" si="24"/>
        <v>572</v>
      </c>
      <c r="B345" t="s">
        <v>357</v>
      </c>
      <c r="C345" t="str">
        <f>"082850"</f>
        <v>082850</v>
      </c>
      <c r="D345" t="s">
        <v>359</v>
      </c>
      <c r="E345">
        <v>1418</v>
      </c>
      <c r="F345">
        <v>0</v>
      </c>
      <c r="G345">
        <v>0</v>
      </c>
    </row>
    <row r="346" spans="1:7">
      <c r="A346" t="str">
        <f t="shared" si="24"/>
        <v>572</v>
      </c>
      <c r="B346" t="s">
        <v>357</v>
      </c>
      <c r="C346" t="str">
        <f>"038060"</f>
        <v>038060</v>
      </c>
      <c r="D346" t="s">
        <v>360</v>
      </c>
      <c r="E346">
        <v>488</v>
      </c>
      <c r="F346">
        <v>0</v>
      </c>
      <c r="G346">
        <v>0</v>
      </c>
    </row>
    <row r="347" spans="1:7">
      <c r="A347" t="str">
        <f t="shared" si="24"/>
        <v>572</v>
      </c>
      <c r="B347" t="s">
        <v>357</v>
      </c>
      <c r="C347" t="str">
        <f>"153490"</f>
        <v>153490</v>
      </c>
      <c r="D347" t="s">
        <v>361</v>
      </c>
      <c r="E347">
        <v>508</v>
      </c>
      <c r="F347">
        <v>0</v>
      </c>
      <c r="G347">
        <v>0</v>
      </c>
    </row>
    <row r="348" spans="1:7">
      <c r="A348" t="str">
        <f t="shared" si="24"/>
        <v>572</v>
      </c>
      <c r="B348" t="s">
        <v>357</v>
      </c>
      <c r="C348" t="str">
        <f>"046890"</f>
        <v>046890</v>
      </c>
      <c r="D348" t="s">
        <v>362</v>
      </c>
      <c r="E348">
        <v>6005</v>
      </c>
      <c r="F348">
        <v>0</v>
      </c>
      <c r="G348">
        <v>0</v>
      </c>
    </row>
    <row r="349" spans="1:7">
      <c r="A349" t="str">
        <f t="shared" si="24"/>
        <v>572</v>
      </c>
      <c r="B349" t="s">
        <v>357</v>
      </c>
      <c r="C349" t="str">
        <f>"020760"</f>
        <v>020760</v>
      </c>
      <c r="D349" t="s">
        <v>199</v>
      </c>
      <c r="E349">
        <v>598</v>
      </c>
      <c r="F349">
        <v>0</v>
      </c>
      <c r="G349">
        <v>0</v>
      </c>
    </row>
    <row r="350" spans="1:7">
      <c r="A350" t="str">
        <f t="shared" si="24"/>
        <v>572</v>
      </c>
      <c r="B350" t="s">
        <v>357</v>
      </c>
      <c r="C350" t="str">
        <f>"004710"</f>
        <v>004710</v>
      </c>
      <c r="D350" t="s">
        <v>215</v>
      </c>
      <c r="E350">
        <v>1628</v>
      </c>
      <c r="F350">
        <v>0</v>
      </c>
      <c r="G350">
        <v>0</v>
      </c>
    </row>
    <row r="351" spans="1:7">
      <c r="A351" t="str">
        <f t="shared" si="24"/>
        <v>572</v>
      </c>
      <c r="B351" t="s">
        <v>357</v>
      </c>
      <c r="C351" t="str">
        <f>"011070"</f>
        <v>011070</v>
      </c>
      <c r="D351" t="s">
        <v>363</v>
      </c>
      <c r="E351">
        <v>62481</v>
      </c>
      <c r="F351">
        <v>0</v>
      </c>
      <c r="G351">
        <v>0</v>
      </c>
    </row>
    <row r="352" spans="1:7">
      <c r="A352" t="str">
        <f t="shared" si="24"/>
        <v>572</v>
      </c>
      <c r="B352" t="s">
        <v>357</v>
      </c>
      <c r="C352" t="str">
        <f>"082800"</f>
        <v>082800</v>
      </c>
      <c r="D352" t="s">
        <v>364</v>
      </c>
      <c r="E352">
        <v>1804</v>
      </c>
      <c r="F352">
        <v>0</v>
      </c>
      <c r="G352">
        <v>0</v>
      </c>
    </row>
    <row r="353" spans="1:9" ht="115.5">
      <c r="A353" t="str">
        <f>"286"</f>
        <v>286</v>
      </c>
      <c r="B353" t="s">
        <v>365</v>
      </c>
      <c r="C353" t="str">
        <f>"048910"</f>
        <v>048910</v>
      </c>
      <c r="D353" t="s">
        <v>366</v>
      </c>
      <c r="E353">
        <v>2057</v>
      </c>
      <c r="F353">
        <v>0</v>
      </c>
      <c r="G353">
        <v>0</v>
      </c>
      <c r="H353" s="1" t="s">
        <v>367</v>
      </c>
      <c r="I353" t="s">
        <v>322</v>
      </c>
    </row>
    <row r="354" spans="1:9">
      <c r="A354" t="str">
        <f>"286"</f>
        <v>286</v>
      </c>
      <c r="B354" t="s">
        <v>365</v>
      </c>
      <c r="C354" t="str">
        <f>"039830"</f>
        <v>039830</v>
      </c>
      <c r="D354" t="s">
        <v>368</v>
      </c>
      <c r="E354">
        <v>849</v>
      </c>
      <c r="F354">
        <v>0</v>
      </c>
      <c r="G354">
        <v>0</v>
      </c>
    </row>
    <row r="355" spans="1:9" ht="49.5">
      <c r="A355" t="str">
        <f>"286"</f>
        <v>286</v>
      </c>
      <c r="B355" t="s">
        <v>365</v>
      </c>
      <c r="C355" t="str">
        <f>"066910"</f>
        <v>066910</v>
      </c>
      <c r="D355" t="s">
        <v>369</v>
      </c>
      <c r="E355">
        <v>522</v>
      </c>
      <c r="F355">
        <v>0</v>
      </c>
      <c r="G355">
        <v>0</v>
      </c>
      <c r="H355" s="1" t="s">
        <v>370</v>
      </c>
      <c r="I355" t="s">
        <v>322</v>
      </c>
    </row>
    <row r="356" spans="1:9">
      <c r="A356" t="str">
        <f>"600"</f>
        <v>600</v>
      </c>
      <c r="B356" t="s">
        <v>371</v>
      </c>
      <c r="C356" t="str">
        <f>"018670"</f>
        <v>018670</v>
      </c>
      <c r="D356" t="s">
        <v>372</v>
      </c>
      <c r="E356">
        <v>10846</v>
      </c>
      <c r="F356">
        <v>0</v>
      </c>
      <c r="G356">
        <v>0</v>
      </c>
    </row>
    <row r="357" spans="1:9">
      <c r="A357" t="str">
        <f>"600"</f>
        <v>600</v>
      </c>
      <c r="B357" t="s">
        <v>371</v>
      </c>
      <c r="C357" t="str">
        <f>"017940"</f>
        <v>017940</v>
      </c>
      <c r="D357" t="s">
        <v>373</v>
      </c>
      <c r="E357">
        <v>3053</v>
      </c>
      <c r="F357">
        <v>0</v>
      </c>
      <c r="G357">
        <v>0</v>
      </c>
    </row>
    <row r="358" spans="1:9">
      <c r="A358" t="str">
        <f>"516"</f>
        <v>516</v>
      </c>
      <c r="B358" t="s">
        <v>374</v>
      </c>
      <c r="C358" t="str">
        <f>"041520"</f>
        <v>041520</v>
      </c>
      <c r="D358" t="s">
        <v>200</v>
      </c>
      <c r="E358">
        <v>597</v>
      </c>
      <c r="F358">
        <v>0</v>
      </c>
      <c r="G358">
        <v>0</v>
      </c>
    </row>
    <row r="359" spans="1:9">
      <c r="A359" t="str">
        <f>"516"</f>
        <v>516</v>
      </c>
      <c r="B359" t="s">
        <v>374</v>
      </c>
      <c r="C359" t="str">
        <f>"011070"</f>
        <v>011070</v>
      </c>
      <c r="D359" t="s">
        <v>363</v>
      </c>
      <c r="E359">
        <v>62481</v>
      </c>
      <c r="F359">
        <v>0</v>
      </c>
      <c r="G359">
        <v>0</v>
      </c>
    </row>
    <row r="360" spans="1:9">
      <c r="A360" t="str">
        <f>"516"</f>
        <v>516</v>
      </c>
      <c r="B360" t="s">
        <v>374</v>
      </c>
      <c r="C360" t="str">
        <f>"051370"</f>
        <v>051370</v>
      </c>
      <c r="D360" t="s">
        <v>202</v>
      </c>
      <c r="E360">
        <v>2155</v>
      </c>
      <c r="F360">
        <v>0</v>
      </c>
      <c r="G360">
        <v>0</v>
      </c>
    </row>
    <row r="361" spans="1:9">
      <c r="A361" t="str">
        <f>"516"</f>
        <v>516</v>
      </c>
      <c r="B361" t="s">
        <v>374</v>
      </c>
      <c r="C361" t="str">
        <f>"108320"</f>
        <v>108320</v>
      </c>
      <c r="D361" t="s">
        <v>162</v>
      </c>
      <c r="E361">
        <v>11840</v>
      </c>
      <c r="F361">
        <v>0</v>
      </c>
      <c r="G361">
        <v>0</v>
      </c>
    </row>
    <row r="362" spans="1:9">
      <c r="A362" t="str">
        <f>"111"</f>
        <v>111</v>
      </c>
      <c r="B362" t="s">
        <v>375</v>
      </c>
      <c r="C362" t="str">
        <f>"105840"</f>
        <v>105840</v>
      </c>
      <c r="D362" t="s">
        <v>376</v>
      </c>
      <c r="E362">
        <v>1650</v>
      </c>
      <c r="F362">
        <v>0</v>
      </c>
      <c r="G362">
        <v>0</v>
      </c>
    </row>
    <row r="363" spans="1:9">
      <c r="A363" t="str">
        <f>"111"</f>
        <v>111</v>
      </c>
      <c r="B363" t="s">
        <v>375</v>
      </c>
      <c r="C363" t="str">
        <f>"094820"</f>
        <v>094820</v>
      </c>
      <c r="D363" t="s">
        <v>282</v>
      </c>
      <c r="E363">
        <v>1779</v>
      </c>
      <c r="F363">
        <v>0</v>
      </c>
      <c r="G363">
        <v>0</v>
      </c>
    </row>
    <row r="364" spans="1:9">
      <c r="A364" t="str">
        <f t="shared" ref="A364:A369" si="25">"203"</f>
        <v>203</v>
      </c>
      <c r="B364" t="s">
        <v>377</v>
      </c>
      <c r="C364" t="str">
        <f>"004980"</f>
        <v>004980</v>
      </c>
      <c r="D364" t="s">
        <v>378</v>
      </c>
      <c r="E364">
        <v>2339</v>
      </c>
      <c r="F364">
        <v>0</v>
      </c>
      <c r="G364">
        <v>0</v>
      </c>
    </row>
    <row r="365" spans="1:9">
      <c r="A365" t="str">
        <f t="shared" si="25"/>
        <v>203</v>
      </c>
      <c r="B365" t="s">
        <v>377</v>
      </c>
      <c r="C365" t="str">
        <f>"003410"</f>
        <v>003410</v>
      </c>
      <c r="D365" t="s">
        <v>379</v>
      </c>
      <c r="E365">
        <v>27460</v>
      </c>
      <c r="F365">
        <v>0</v>
      </c>
      <c r="G365">
        <v>0</v>
      </c>
    </row>
    <row r="366" spans="1:9">
      <c r="A366" t="str">
        <f t="shared" si="25"/>
        <v>203</v>
      </c>
      <c r="B366" t="s">
        <v>377</v>
      </c>
      <c r="C366" t="str">
        <f>"006390"</f>
        <v>006390</v>
      </c>
      <c r="D366" t="s">
        <v>380</v>
      </c>
      <c r="E366">
        <v>3334</v>
      </c>
      <c r="F366">
        <v>0</v>
      </c>
      <c r="G366">
        <v>0</v>
      </c>
    </row>
    <row r="367" spans="1:9">
      <c r="A367" t="str">
        <f t="shared" si="25"/>
        <v>203</v>
      </c>
      <c r="B367" t="s">
        <v>377</v>
      </c>
      <c r="C367" t="str">
        <f>"002030"</f>
        <v>002030</v>
      </c>
      <c r="D367" t="s">
        <v>381</v>
      </c>
      <c r="E367">
        <v>2848</v>
      </c>
      <c r="F367">
        <v>0</v>
      </c>
      <c r="G367">
        <v>0</v>
      </c>
    </row>
    <row r="368" spans="1:9">
      <c r="A368" t="str">
        <f t="shared" si="25"/>
        <v>203</v>
      </c>
      <c r="B368" t="s">
        <v>377</v>
      </c>
      <c r="C368" t="str">
        <f>"038500"</f>
        <v>038500</v>
      </c>
      <c r="D368" t="s">
        <v>382</v>
      </c>
      <c r="E368">
        <v>3518</v>
      </c>
      <c r="F368">
        <v>0</v>
      </c>
      <c r="G368">
        <v>0</v>
      </c>
    </row>
    <row r="369" spans="1:9">
      <c r="A369" t="str">
        <f t="shared" si="25"/>
        <v>203</v>
      </c>
      <c r="B369" t="s">
        <v>377</v>
      </c>
      <c r="C369" t="str">
        <f>"003300"</f>
        <v>003300</v>
      </c>
      <c r="D369" t="s">
        <v>383</v>
      </c>
      <c r="E369">
        <v>3237</v>
      </c>
      <c r="F369">
        <v>0</v>
      </c>
      <c r="G369">
        <v>0</v>
      </c>
    </row>
    <row r="370" spans="1:9">
      <c r="A370" t="str">
        <f t="shared" ref="A370:A383" si="26">"270"</f>
        <v>270</v>
      </c>
      <c r="B370" t="s">
        <v>384</v>
      </c>
      <c r="C370" t="str">
        <f>"035290"</f>
        <v>035290</v>
      </c>
      <c r="D370" t="s">
        <v>385</v>
      </c>
      <c r="E370">
        <v>2470</v>
      </c>
      <c r="F370">
        <v>0</v>
      </c>
      <c r="G370">
        <v>0</v>
      </c>
    </row>
    <row r="371" spans="1:9">
      <c r="A371" t="str">
        <f t="shared" si="26"/>
        <v>270</v>
      </c>
      <c r="B371" t="s">
        <v>384</v>
      </c>
      <c r="C371" t="str">
        <f>"020710"</f>
        <v>020710</v>
      </c>
      <c r="D371" t="s">
        <v>386</v>
      </c>
      <c r="E371">
        <v>861</v>
      </c>
      <c r="F371">
        <v>0</v>
      </c>
      <c r="G371">
        <v>0</v>
      </c>
    </row>
    <row r="372" spans="1:9" ht="99">
      <c r="A372" t="str">
        <f t="shared" si="26"/>
        <v>270</v>
      </c>
      <c r="B372" t="s">
        <v>384</v>
      </c>
      <c r="C372" t="str">
        <f>"036000"</f>
        <v>036000</v>
      </c>
      <c r="D372" t="s">
        <v>387</v>
      </c>
      <c r="E372">
        <v>451</v>
      </c>
      <c r="F372">
        <v>0</v>
      </c>
      <c r="G372">
        <v>0</v>
      </c>
      <c r="H372" s="1" t="s">
        <v>388</v>
      </c>
      <c r="I372" t="s">
        <v>322</v>
      </c>
    </row>
    <row r="373" spans="1:9">
      <c r="A373" t="str">
        <f t="shared" si="26"/>
        <v>270</v>
      </c>
      <c r="B373" t="s">
        <v>384</v>
      </c>
      <c r="C373" t="str">
        <f>"096240"</f>
        <v>096240</v>
      </c>
      <c r="D373" t="s">
        <v>389</v>
      </c>
      <c r="E373">
        <v>1974</v>
      </c>
      <c r="F373">
        <v>0</v>
      </c>
      <c r="G373">
        <v>0</v>
      </c>
    </row>
    <row r="374" spans="1:9">
      <c r="A374" t="str">
        <f t="shared" si="26"/>
        <v>270</v>
      </c>
      <c r="B374" t="s">
        <v>384</v>
      </c>
      <c r="C374" t="str">
        <f>"053290"</f>
        <v>053290</v>
      </c>
      <c r="D374" t="s">
        <v>390</v>
      </c>
      <c r="E374">
        <v>645</v>
      </c>
      <c r="F374">
        <v>0</v>
      </c>
      <c r="G374">
        <v>0</v>
      </c>
    </row>
    <row r="375" spans="1:9">
      <c r="A375" t="str">
        <f t="shared" si="26"/>
        <v>270</v>
      </c>
      <c r="B375" t="s">
        <v>384</v>
      </c>
      <c r="C375" t="str">
        <f>"072870"</f>
        <v>072870</v>
      </c>
      <c r="D375" t="s">
        <v>391</v>
      </c>
      <c r="E375">
        <v>1287</v>
      </c>
      <c r="F375">
        <v>0</v>
      </c>
      <c r="G375">
        <v>0</v>
      </c>
    </row>
    <row r="376" spans="1:9">
      <c r="A376" t="str">
        <f t="shared" si="26"/>
        <v>270</v>
      </c>
      <c r="B376" t="s">
        <v>384</v>
      </c>
      <c r="C376" t="str">
        <f>"068290"</f>
        <v>068290</v>
      </c>
      <c r="D376" t="s">
        <v>392</v>
      </c>
      <c r="E376">
        <v>2420</v>
      </c>
      <c r="F376">
        <v>0</v>
      </c>
      <c r="G376">
        <v>0</v>
      </c>
    </row>
    <row r="377" spans="1:9">
      <c r="A377" t="str">
        <f t="shared" si="26"/>
        <v>270</v>
      </c>
      <c r="B377" t="s">
        <v>384</v>
      </c>
      <c r="C377" t="str">
        <f>"040420"</f>
        <v>040420</v>
      </c>
      <c r="D377" t="s">
        <v>393</v>
      </c>
      <c r="E377">
        <v>1126</v>
      </c>
      <c r="F377">
        <v>0</v>
      </c>
      <c r="G377">
        <v>0</v>
      </c>
    </row>
    <row r="378" spans="1:9">
      <c r="A378" t="str">
        <f t="shared" si="26"/>
        <v>270</v>
      </c>
      <c r="B378" t="s">
        <v>384</v>
      </c>
      <c r="C378" t="str">
        <f>"057030"</f>
        <v>057030</v>
      </c>
      <c r="D378" t="s">
        <v>394</v>
      </c>
      <c r="E378">
        <v>574</v>
      </c>
      <c r="F378">
        <v>0</v>
      </c>
      <c r="G378">
        <v>0</v>
      </c>
    </row>
    <row r="379" spans="1:9">
      <c r="A379" t="str">
        <f t="shared" si="26"/>
        <v>270</v>
      </c>
      <c r="B379" t="s">
        <v>384</v>
      </c>
      <c r="C379" t="str">
        <f>"067280"</f>
        <v>067280</v>
      </c>
      <c r="D379" t="s">
        <v>395</v>
      </c>
      <c r="E379">
        <v>2107</v>
      </c>
      <c r="F379">
        <v>0</v>
      </c>
      <c r="G379">
        <v>0</v>
      </c>
    </row>
    <row r="380" spans="1:9">
      <c r="A380" t="str">
        <f t="shared" si="26"/>
        <v>270</v>
      </c>
      <c r="B380" t="s">
        <v>384</v>
      </c>
      <c r="C380" t="str">
        <f>"019680"</f>
        <v>019680</v>
      </c>
      <c r="D380" t="s">
        <v>396</v>
      </c>
      <c r="E380">
        <v>2181</v>
      </c>
      <c r="F380">
        <v>0</v>
      </c>
      <c r="G380">
        <v>0</v>
      </c>
    </row>
    <row r="381" spans="1:9">
      <c r="A381" t="str">
        <f t="shared" si="26"/>
        <v>270</v>
      </c>
      <c r="B381" t="s">
        <v>384</v>
      </c>
      <c r="C381" t="str">
        <f>"095720"</f>
        <v>095720</v>
      </c>
      <c r="D381" t="s">
        <v>397</v>
      </c>
      <c r="E381">
        <v>2732</v>
      </c>
      <c r="F381">
        <v>0</v>
      </c>
      <c r="G381">
        <v>0</v>
      </c>
    </row>
    <row r="382" spans="1:9" ht="33">
      <c r="A382" t="str">
        <f t="shared" si="26"/>
        <v>270</v>
      </c>
      <c r="B382" t="s">
        <v>384</v>
      </c>
      <c r="C382" s="2">
        <v>339950</v>
      </c>
      <c r="D382" t="s">
        <v>398</v>
      </c>
      <c r="E382">
        <v>1038</v>
      </c>
      <c r="F382">
        <v>0</v>
      </c>
      <c r="G382">
        <v>0</v>
      </c>
      <c r="H382" s="1" t="s">
        <v>399</v>
      </c>
      <c r="I382" t="s">
        <v>322</v>
      </c>
    </row>
    <row r="383" spans="1:9">
      <c r="A383" t="str">
        <f t="shared" si="26"/>
        <v>270</v>
      </c>
      <c r="B383" t="s">
        <v>384</v>
      </c>
      <c r="C383" t="str">
        <f>"100220"</f>
        <v>100220</v>
      </c>
      <c r="D383" t="s">
        <v>400</v>
      </c>
      <c r="E383">
        <v>755</v>
      </c>
      <c r="F383">
        <v>0</v>
      </c>
      <c r="G383">
        <v>0</v>
      </c>
    </row>
    <row r="384" spans="1:9">
      <c r="A384" t="str">
        <f>"130"</f>
        <v>130</v>
      </c>
      <c r="B384" t="s">
        <v>401</v>
      </c>
      <c r="C384" t="str">
        <f>"161000"</f>
        <v>161000</v>
      </c>
      <c r="D384" t="s">
        <v>402</v>
      </c>
      <c r="E384">
        <v>4189</v>
      </c>
      <c r="F384">
        <v>0</v>
      </c>
      <c r="G384">
        <v>0</v>
      </c>
    </row>
    <row r="385" spans="1:7">
      <c r="A385" t="str">
        <f>"130"</f>
        <v>130</v>
      </c>
      <c r="B385" t="s">
        <v>401</v>
      </c>
      <c r="C385" t="str">
        <f>"023150"</f>
        <v>023150</v>
      </c>
      <c r="D385" t="s">
        <v>403</v>
      </c>
      <c r="E385">
        <v>550</v>
      </c>
      <c r="F385">
        <v>0</v>
      </c>
      <c r="G385">
        <v>0</v>
      </c>
    </row>
    <row r="386" spans="1:7">
      <c r="A386" t="str">
        <f>"130"</f>
        <v>130</v>
      </c>
      <c r="B386" t="s">
        <v>401</v>
      </c>
      <c r="C386" t="str">
        <f>"006120"</f>
        <v>006120</v>
      </c>
      <c r="D386" t="s">
        <v>404</v>
      </c>
      <c r="E386">
        <v>5607</v>
      </c>
      <c r="F386">
        <v>0</v>
      </c>
      <c r="G386">
        <v>0</v>
      </c>
    </row>
    <row r="387" spans="1:7">
      <c r="A387" t="str">
        <f>"130"</f>
        <v>130</v>
      </c>
      <c r="B387" t="s">
        <v>401</v>
      </c>
      <c r="C387" t="str">
        <f>"137950"</f>
        <v>137950</v>
      </c>
      <c r="D387" t="s">
        <v>405</v>
      </c>
      <c r="E387">
        <v>1536</v>
      </c>
      <c r="F387">
        <v>0</v>
      </c>
      <c r="G387">
        <v>0</v>
      </c>
    </row>
    <row r="388" spans="1:7">
      <c r="A388" t="str">
        <f>"363"</f>
        <v>363</v>
      </c>
      <c r="B388" t="s">
        <v>406</v>
      </c>
      <c r="C388" t="str">
        <f>"066700"</f>
        <v>066700</v>
      </c>
      <c r="D388" t="s">
        <v>407</v>
      </c>
      <c r="E388">
        <v>1530</v>
      </c>
      <c r="F388">
        <v>0</v>
      </c>
      <c r="G388">
        <v>0</v>
      </c>
    </row>
    <row r="389" spans="1:7">
      <c r="A389" t="str">
        <f>"363"</f>
        <v>363</v>
      </c>
      <c r="B389" t="s">
        <v>406</v>
      </c>
      <c r="C389" t="str">
        <f>"038290"</f>
        <v>038290</v>
      </c>
      <c r="D389" t="s">
        <v>229</v>
      </c>
      <c r="E389">
        <v>2190</v>
      </c>
      <c r="F389">
        <v>0</v>
      </c>
      <c r="G389">
        <v>0</v>
      </c>
    </row>
    <row r="390" spans="1:7">
      <c r="A390" t="str">
        <f>"363"</f>
        <v>363</v>
      </c>
      <c r="B390" t="s">
        <v>406</v>
      </c>
      <c r="C390" t="str">
        <f>"127120"</f>
        <v>127120</v>
      </c>
      <c r="D390" t="s">
        <v>408</v>
      </c>
      <c r="E390">
        <v>627</v>
      </c>
      <c r="F390">
        <v>0</v>
      </c>
      <c r="G390">
        <v>0</v>
      </c>
    </row>
    <row r="391" spans="1:7">
      <c r="A391" t="str">
        <f t="shared" ref="A391:A402" si="27">"551"</f>
        <v>551</v>
      </c>
      <c r="B391" t="s">
        <v>409</v>
      </c>
      <c r="C391" t="str">
        <f>"048870"</f>
        <v>048870</v>
      </c>
      <c r="D391" t="s">
        <v>410</v>
      </c>
      <c r="E391">
        <v>2415</v>
      </c>
      <c r="F391">
        <v>0</v>
      </c>
      <c r="G391">
        <v>0</v>
      </c>
    </row>
    <row r="392" spans="1:7">
      <c r="A392" t="str">
        <f t="shared" si="27"/>
        <v>551</v>
      </c>
      <c r="B392" t="s">
        <v>409</v>
      </c>
      <c r="C392" t="str">
        <f>"052860"</f>
        <v>052860</v>
      </c>
      <c r="D392" t="s">
        <v>411</v>
      </c>
      <c r="E392">
        <v>423</v>
      </c>
      <c r="F392">
        <v>0</v>
      </c>
      <c r="G392">
        <v>0</v>
      </c>
    </row>
    <row r="393" spans="1:7">
      <c r="A393" t="str">
        <f t="shared" si="27"/>
        <v>551</v>
      </c>
      <c r="B393" t="s">
        <v>409</v>
      </c>
      <c r="C393" t="str">
        <f>"101400"</f>
        <v>101400</v>
      </c>
      <c r="D393" t="s">
        <v>314</v>
      </c>
      <c r="E393">
        <v>333</v>
      </c>
      <c r="F393">
        <v>0</v>
      </c>
      <c r="G393">
        <v>0</v>
      </c>
    </row>
    <row r="394" spans="1:7">
      <c r="A394" t="str">
        <f t="shared" si="27"/>
        <v>551</v>
      </c>
      <c r="B394" t="s">
        <v>409</v>
      </c>
      <c r="C394" t="str">
        <f>"080220"</f>
        <v>080220</v>
      </c>
      <c r="D394" t="s">
        <v>412</v>
      </c>
      <c r="E394">
        <v>1338</v>
      </c>
      <c r="F394">
        <v>0</v>
      </c>
      <c r="G394">
        <v>0</v>
      </c>
    </row>
    <row r="395" spans="1:7">
      <c r="A395" t="str">
        <f t="shared" si="27"/>
        <v>551</v>
      </c>
      <c r="B395" t="s">
        <v>409</v>
      </c>
      <c r="C395" t="str">
        <f>"092600"</f>
        <v>092600</v>
      </c>
      <c r="D395" t="s">
        <v>315</v>
      </c>
      <c r="E395">
        <v>379</v>
      </c>
      <c r="F395">
        <v>0</v>
      </c>
      <c r="G395">
        <v>0</v>
      </c>
    </row>
    <row r="396" spans="1:7">
      <c r="A396" t="str">
        <f t="shared" si="27"/>
        <v>551</v>
      </c>
      <c r="B396" t="s">
        <v>409</v>
      </c>
      <c r="C396" t="str">
        <f>"038880"</f>
        <v>038880</v>
      </c>
      <c r="D396" t="s">
        <v>156</v>
      </c>
      <c r="E396">
        <v>1839</v>
      </c>
      <c r="F396">
        <v>0</v>
      </c>
      <c r="G396">
        <v>0</v>
      </c>
    </row>
    <row r="397" spans="1:7">
      <c r="A397" t="str">
        <f t="shared" si="27"/>
        <v>551</v>
      </c>
      <c r="B397" t="s">
        <v>409</v>
      </c>
      <c r="C397" t="str">
        <f>"123860"</f>
        <v>123860</v>
      </c>
      <c r="D397" t="s">
        <v>413</v>
      </c>
      <c r="E397">
        <v>2617</v>
      </c>
      <c r="F397">
        <v>0</v>
      </c>
      <c r="G397">
        <v>0</v>
      </c>
    </row>
    <row r="398" spans="1:7">
      <c r="A398" t="str">
        <f t="shared" si="27"/>
        <v>551</v>
      </c>
      <c r="B398" t="s">
        <v>409</v>
      </c>
      <c r="C398" t="str">
        <f>"062860"</f>
        <v>062860</v>
      </c>
      <c r="D398" t="s">
        <v>160</v>
      </c>
      <c r="E398">
        <v>596</v>
      </c>
      <c r="F398">
        <v>0</v>
      </c>
      <c r="G398">
        <v>0</v>
      </c>
    </row>
    <row r="399" spans="1:7">
      <c r="A399" t="str">
        <f t="shared" si="27"/>
        <v>551</v>
      </c>
      <c r="B399" t="s">
        <v>409</v>
      </c>
      <c r="C399" t="str">
        <f>"102120"</f>
        <v>102120</v>
      </c>
      <c r="D399" t="s">
        <v>414</v>
      </c>
      <c r="E399">
        <v>1488</v>
      </c>
      <c r="F399">
        <v>0</v>
      </c>
      <c r="G399">
        <v>0</v>
      </c>
    </row>
    <row r="400" spans="1:7">
      <c r="A400" t="str">
        <f t="shared" si="27"/>
        <v>551</v>
      </c>
      <c r="B400" t="s">
        <v>409</v>
      </c>
      <c r="C400" t="str">
        <f>"117670"</f>
        <v>117670</v>
      </c>
      <c r="D400" t="s">
        <v>415</v>
      </c>
      <c r="E400">
        <v>328</v>
      </c>
      <c r="F400">
        <v>0</v>
      </c>
      <c r="G400">
        <v>0</v>
      </c>
    </row>
    <row r="401" spans="1:9">
      <c r="A401" t="str">
        <f t="shared" si="27"/>
        <v>551</v>
      </c>
      <c r="B401" t="s">
        <v>409</v>
      </c>
      <c r="C401" t="str">
        <f>"054450"</f>
        <v>054450</v>
      </c>
      <c r="D401" t="s">
        <v>416</v>
      </c>
      <c r="E401">
        <v>1593</v>
      </c>
      <c r="F401">
        <v>0</v>
      </c>
      <c r="G401">
        <v>0</v>
      </c>
    </row>
    <row r="402" spans="1:9">
      <c r="A402" t="str">
        <f t="shared" si="27"/>
        <v>551</v>
      </c>
      <c r="B402" t="s">
        <v>409</v>
      </c>
      <c r="C402" t="str">
        <f>"108320"</f>
        <v>108320</v>
      </c>
      <c r="D402" t="s">
        <v>162</v>
      </c>
      <c r="E402">
        <v>11840</v>
      </c>
      <c r="F402">
        <v>0</v>
      </c>
      <c r="G402">
        <v>0</v>
      </c>
    </row>
    <row r="403" spans="1:9" ht="115.5">
      <c r="A403" t="str">
        <f>"450"</f>
        <v>450</v>
      </c>
      <c r="B403" t="s">
        <v>417</v>
      </c>
      <c r="C403" t="str">
        <f>"048910"</f>
        <v>048910</v>
      </c>
      <c r="D403" t="s">
        <v>366</v>
      </c>
      <c r="E403">
        <v>2057</v>
      </c>
      <c r="F403">
        <v>0</v>
      </c>
      <c r="G403">
        <v>0</v>
      </c>
      <c r="H403" s="1" t="s">
        <v>367</v>
      </c>
      <c r="I403" t="s">
        <v>322</v>
      </c>
    </row>
    <row r="404" spans="1:9">
      <c r="A404" t="str">
        <f>"450"</f>
        <v>450</v>
      </c>
      <c r="B404" t="s">
        <v>417</v>
      </c>
      <c r="C404" t="str">
        <f>"035080"</f>
        <v>035080</v>
      </c>
      <c r="D404" t="s">
        <v>418</v>
      </c>
      <c r="E404">
        <v>2329</v>
      </c>
      <c r="F404">
        <v>0</v>
      </c>
      <c r="G404">
        <v>0</v>
      </c>
    </row>
    <row r="405" spans="1:9" ht="99">
      <c r="A405" t="str">
        <f>"450"</f>
        <v>450</v>
      </c>
      <c r="B405" t="s">
        <v>417</v>
      </c>
      <c r="C405" t="str">
        <f>"036000"</f>
        <v>036000</v>
      </c>
      <c r="D405" t="s">
        <v>387</v>
      </c>
      <c r="E405">
        <v>451</v>
      </c>
      <c r="F405">
        <v>0</v>
      </c>
      <c r="G405">
        <v>0</v>
      </c>
      <c r="H405" s="1" t="s">
        <v>388</v>
      </c>
      <c r="I405" t="s">
        <v>322</v>
      </c>
    </row>
    <row r="406" spans="1:9">
      <c r="A406" t="str">
        <f>"450"</f>
        <v>450</v>
      </c>
      <c r="B406" t="s">
        <v>417</v>
      </c>
      <c r="C406" t="str">
        <f>"053280"</f>
        <v>053280</v>
      </c>
      <c r="D406" t="s">
        <v>419</v>
      </c>
      <c r="E406">
        <v>1228</v>
      </c>
      <c r="F406">
        <v>0</v>
      </c>
      <c r="G406">
        <v>0</v>
      </c>
    </row>
    <row r="407" spans="1:9">
      <c r="A407" t="str">
        <f>"450"</f>
        <v>450</v>
      </c>
      <c r="B407" t="s">
        <v>417</v>
      </c>
      <c r="C407" t="str">
        <f>"060570"</f>
        <v>060570</v>
      </c>
      <c r="D407" t="s">
        <v>420</v>
      </c>
      <c r="E407">
        <v>1555</v>
      </c>
      <c r="F407">
        <v>0</v>
      </c>
      <c r="G407">
        <v>0</v>
      </c>
    </row>
    <row r="408" spans="1:9">
      <c r="A408" t="str">
        <f>"243"</f>
        <v>243</v>
      </c>
      <c r="B408" t="s">
        <v>421</v>
      </c>
      <c r="C408" t="str">
        <f>"012330"</f>
        <v>012330</v>
      </c>
      <c r="D408" t="s">
        <v>422</v>
      </c>
      <c r="E408">
        <v>195170</v>
      </c>
      <c r="F408">
        <v>0</v>
      </c>
      <c r="G408">
        <v>0</v>
      </c>
    </row>
    <row r="409" spans="1:9">
      <c r="A409" t="str">
        <f>"243"</f>
        <v>243</v>
      </c>
      <c r="B409" t="s">
        <v>421</v>
      </c>
      <c r="C409" t="str">
        <f>"060980"</f>
        <v>060980</v>
      </c>
      <c r="D409" t="s">
        <v>423</v>
      </c>
      <c r="E409">
        <v>3115</v>
      </c>
      <c r="F409">
        <v>0</v>
      </c>
      <c r="G409">
        <v>0</v>
      </c>
    </row>
    <row r="410" spans="1:9">
      <c r="A410" t="str">
        <f>"154"</f>
        <v>154</v>
      </c>
      <c r="B410" t="s">
        <v>424</v>
      </c>
      <c r="C410" t="str">
        <f>"138490"</f>
        <v>138490</v>
      </c>
      <c r="D410" t="s">
        <v>425</v>
      </c>
      <c r="E410">
        <v>3344</v>
      </c>
      <c r="F410">
        <v>0</v>
      </c>
      <c r="G410">
        <v>0</v>
      </c>
    </row>
    <row r="411" spans="1:9">
      <c r="A411" t="str">
        <f>"154"</f>
        <v>154</v>
      </c>
      <c r="B411" t="s">
        <v>424</v>
      </c>
      <c r="C411" t="str">
        <f>"126600"</f>
        <v>126600</v>
      </c>
      <c r="D411" t="s">
        <v>426</v>
      </c>
      <c r="E411">
        <v>1431</v>
      </c>
      <c r="F411">
        <v>0</v>
      </c>
      <c r="G411">
        <v>0</v>
      </c>
    </row>
    <row r="412" spans="1:9">
      <c r="A412" t="str">
        <f>"154"</f>
        <v>154</v>
      </c>
      <c r="B412" t="s">
        <v>424</v>
      </c>
      <c r="C412" t="str">
        <f>"089470"</f>
        <v>089470</v>
      </c>
      <c r="D412" t="s">
        <v>427</v>
      </c>
      <c r="E412">
        <v>1238</v>
      </c>
      <c r="F412">
        <v>0</v>
      </c>
      <c r="G412">
        <v>0</v>
      </c>
    </row>
    <row r="413" spans="1:9">
      <c r="A413" t="str">
        <f t="shared" ref="A413:A420" si="28">"518"</f>
        <v>518</v>
      </c>
      <c r="B413" t="s">
        <v>428</v>
      </c>
      <c r="C413" t="str">
        <f>"054210"</f>
        <v>054210</v>
      </c>
      <c r="D413" t="s">
        <v>214</v>
      </c>
      <c r="E413">
        <v>3035</v>
      </c>
      <c r="F413">
        <v>0</v>
      </c>
      <c r="G413">
        <v>0</v>
      </c>
    </row>
    <row r="414" spans="1:9">
      <c r="A414" t="str">
        <f t="shared" si="28"/>
        <v>518</v>
      </c>
      <c r="B414" t="s">
        <v>428</v>
      </c>
      <c r="C414" t="str">
        <f>"033240"</f>
        <v>033240</v>
      </c>
      <c r="D414" t="s">
        <v>429</v>
      </c>
      <c r="E414">
        <v>4506</v>
      </c>
      <c r="F414">
        <v>0</v>
      </c>
      <c r="G414">
        <v>0</v>
      </c>
    </row>
    <row r="415" spans="1:9">
      <c r="A415" t="str">
        <f t="shared" si="28"/>
        <v>518</v>
      </c>
      <c r="B415" t="s">
        <v>428</v>
      </c>
      <c r="C415" t="str">
        <f>"061040"</f>
        <v>061040</v>
      </c>
      <c r="D415" t="s">
        <v>216</v>
      </c>
      <c r="E415">
        <v>1733</v>
      </c>
      <c r="F415">
        <v>0</v>
      </c>
      <c r="G415">
        <v>0</v>
      </c>
    </row>
    <row r="416" spans="1:9">
      <c r="A416" t="str">
        <f t="shared" si="28"/>
        <v>518</v>
      </c>
      <c r="B416" t="s">
        <v>428</v>
      </c>
      <c r="C416" t="str">
        <f>"091700"</f>
        <v>091700</v>
      </c>
      <c r="D416" t="s">
        <v>119</v>
      </c>
      <c r="E416">
        <v>4790</v>
      </c>
      <c r="F416">
        <v>0</v>
      </c>
      <c r="G416">
        <v>0</v>
      </c>
    </row>
    <row r="417" spans="1:7">
      <c r="A417" t="str">
        <f t="shared" si="28"/>
        <v>518</v>
      </c>
      <c r="B417" t="s">
        <v>428</v>
      </c>
      <c r="C417" t="str">
        <f>"093920"</f>
        <v>093920</v>
      </c>
      <c r="D417" t="s">
        <v>430</v>
      </c>
      <c r="E417">
        <v>1051</v>
      </c>
      <c r="F417">
        <v>0</v>
      </c>
      <c r="G417">
        <v>0</v>
      </c>
    </row>
    <row r="418" spans="1:7">
      <c r="A418" t="str">
        <f t="shared" si="28"/>
        <v>518</v>
      </c>
      <c r="B418" t="s">
        <v>428</v>
      </c>
      <c r="C418" t="str">
        <f>"101330"</f>
        <v>101330</v>
      </c>
      <c r="D418" t="s">
        <v>431</v>
      </c>
      <c r="E418">
        <v>725</v>
      </c>
      <c r="F418">
        <v>0</v>
      </c>
      <c r="G418">
        <v>0</v>
      </c>
    </row>
    <row r="419" spans="1:7">
      <c r="A419" t="str">
        <f t="shared" si="28"/>
        <v>518</v>
      </c>
      <c r="B419" t="s">
        <v>428</v>
      </c>
      <c r="C419" t="str">
        <f>"072520"</f>
        <v>072520</v>
      </c>
      <c r="D419" t="s">
        <v>432</v>
      </c>
      <c r="E419">
        <v>814</v>
      </c>
      <c r="F419">
        <v>0</v>
      </c>
      <c r="G419">
        <v>0</v>
      </c>
    </row>
    <row r="420" spans="1:7">
      <c r="A420" t="str">
        <f t="shared" si="28"/>
        <v>518</v>
      </c>
      <c r="B420" t="s">
        <v>428</v>
      </c>
      <c r="C420" t="str">
        <f>"049070"</f>
        <v>049070</v>
      </c>
      <c r="D420" t="s">
        <v>433</v>
      </c>
      <c r="E420">
        <v>4756</v>
      </c>
      <c r="F420">
        <v>0</v>
      </c>
      <c r="G420">
        <v>0</v>
      </c>
    </row>
    <row r="421" spans="1:7">
      <c r="A421" t="str">
        <f t="shared" ref="A421:A430" si="29">"457"</f>
        <v>457</v>
      </c>
      <c r="B421" t="s">
        <v>434</v>
      </c>
      <c r="C421" t="str">
        <f>"069410"</f>
        <v>069410</v>
      </c>
      <c r="D421" t="s">
        <v>287</v>
      </c>
      <c r="E421">
        <v>527</v>
      </c>
      <c r="F421">
        <v>0</v>
      </c>
      <c r="G421">
        <v>0</v>
      </c>
    </row>
    <row r="422" spans="1:7">
      <c r="A422" t="str">
        <f t="shared" si="29"/>
        <v>457</v>
      </c>
      <c r="B422" t="s">
        <v>434</v>
      </c>
      <c r="C422" t="str">
        <f>"032640"</f>
        <v>032640</v>
      </c>
      <c r="D422" t="s">
        <v>332</v>
      </c>
      <c r="E422">
        <v>48027</v>
      </c>
      <c r="F422">
        <v>0</v>
      </c>
      <c r="G422">
        <v>0</v>
      </c>
    </row>
    <row r="423" spans="1:7">
      <c r="A423" t="str">
        <f t="shared" si="29"/>
        <v>457</v>
      </c>
      <c r="B423" t="s">
        <v>434</v>
      </c>
      <c r="C423" t="str">
        <f>"012510"</f>
        <v>012510</v>
      </c>
      <c r="D423" t="s">
        <v>435</v>
      </c>
      <c r="E423">
        <v>11515</v>
      </c>
      <c r="F423">
        <v>0</v>
      </c>
      <c r="G423">
        <v>0</v>
      </c>
    </row>
    <row r="424" spans="1:7">
      <c r="A424" t="str">
        <f t="shared" si="29"/>
        <v>457</v>
      </c>
      <c r="B424" t="s">
        <v>434</v>
      </c>
      <c r="C424" t="str">
        <f>"030200"</f>
        <v>030200</v>
      </c>
      <c r="D424" t="s">
        <v>334</v>
      </c>
      <c r="E424">
        <v>88125</v>
      </c>
      <c r="F424">
        <v>0</v>
      </c>
      <c r="G424">
        <v>0</v>
      </c>
    </row>
    <row r="425" spans="1:7">
      <c r="A425" t="str">
        <f t="shared" si="29"/>
        <v>457</v>
      </c>
      <c r="B425" t="s">
        <v>434</v>
      </c>
      <c r="C425" t="str">
        <f>"205100"</f>
        <v>205100</v>
      </c>
      <c r="D425" t="s">
        <v>436</v>
      </c>
      <c r="E425">
        <v>1373</v>
      </c>
      <c r="F425">
        <v>0</v>
      </c>
      <c r="G425">
        <v>0</v>
      </c>
    </row>
    <row r="426" spans="1:7">
      <c r="A426" t="str">
        <f t="shared" si="29"/>
        <v>457</v>
      </c>
      <c r="B426" t="s">
        <v>434</v>
      </c>
      <c r="C426" t="str">
        <f>"034730"</f>
        <v>034730</v>
      </c>
      <c r="D426" t="s">
        <v>80</v>
      </c>
      <c r="E426">
        <v>139030</v>
      </c>
      <c r="F426">
        <v>0</v>
      </c>
      <c r="G426">
        <v>0</v>
      </c>
    </row>
    <row r="427" spans="1:7">
      <c r="A427" t="str">
        <f t="shared" si="29"/>
        <v>457</v>
      </c>
      <c r="B427" t="s">
        <v>434</v>
      </c>
      <c r="C427" t="str">
        <f>"023590"</f>
        <v>023590</v>
      </c>
      <c r="D427" t="s">
        <v>437</v>
      </c>
      <c r="E427">
        <v>8547</v>
      </c>
      <c r="F427">
        <v>0</v>
      </c>
      <c r="G427">
        <v>0</v>
      </c>
    </row>
    <row r="428" spans="1:7">
      <c r="A428" t="str">
        <f t="shared" si="29"/>
        <v>457</v>
      </c>
      <c r="B428" t="s">
        <v>434</v>
      </c>
      <c r="C428" t="str">
        <f>"017670"</f>
        <v>017670</v>
      </c>
      <c r="D428" t="s">
        <v>438</v>
      </c>
      <c r="E428">
        <v>103070</v>
      </c>
      <c r="F428">
        <v>0</v>
      </c>
      <c r="G428">
        <v>0</v>
      </c>
    </row>
    <row r="429" spans="1:7">
      <c r="A429" t="str">
        <f t="shared" si="29"/>
        <v>457</v>
      </c>
      <c r="B429" t="s">
        <v>434</v>
      </c>
      <c r="C429" t="str">
        <f>"100030"</f>
        <v>100030</v>
      </c>
      <c r="D429" t="s">
        <v>439</v>
      </c>
      <c r="E429">
        <v>599</v>
      </c>
      <c r="F429">
        <v>0</v>
      </c>
      <c r="G429">
        <v>0</v>
      </c>
    </row>
    <row r="430" spans="1:7">
      <c r="A430" t="str">
        <f t="shared" si="29"/>
        <v>457</v>
      </c>
      <c r="B430" t="s">
        <v>434</v>
      </c>
      <c r="C430" t="str">
        <f>"093320"</f>
        <v>093320</v>
      </c>
      <c r="D430" t="s">
        <v>440</v>
      </c>
      <c r="E430">
        <v>2625</v>
      </c>
      <c r="F430">
        <v>0</v>
      </c>
      <c r="G430">
        <v>0</v>
      </c>
    </row>
    <row r="431" spans="1:7">
      <c r="A431" t="str">
        <f t="shared" ref="A431:A437" si="30">"231"</f>
        <v>231</v>
      </c>
      <c r="B431" t="s">
        <v>441</v>
      </c>
      <c r="C431" t="str">
        <f>"004360"</f>
        <v>004360</v>
      </c>
      <c r="D431" t="s">
        <v>442</v>
      </c>
      <c r="E431">
        <v>6951</v>
      </c>
      <c r="F431">
        <v>0</v>
      </c>
      <c r="G431">
        <v>0</v>
      </c>
    </row>
    <row r="432" spans="1:7">
      <c r="A432" t="str">
        <f t="shared" si="30"/>
        <v>231</v>
      </c>
      <c r="B432" t="s">
        <v>441</v>
      </c>
      <c r="C432" t="str">
        <f>"011200"</f>
        <v>011200</v>
      </c>
      <c r="D432" t="s">
        <v>443</v>
      </c>
      <c r="E432">
        <v>95607</v>
      </c>
      <c r="F432">
        <v>0</v>
      </c>
      <c r="G432">
        <v>0</v>
      </c>
    </row>
    <row r="433" spans="1:9">
      <c r="A433" t="str">
        <f t="shared" si="30"/>
        <v>231</v>
      </c>
      <c r="B433" t="s">
        <v>441</v>
      </c>
      <c r="C433" t="str">
        <f>"004140"</f>
        <v>004140</v>
      </c>
      <c r="D433" t="s">
        <v>444</v>
      </c>
      <c r="E433">
        <v>1221</v>
      </c>
      <c r="F433">
        <v>0</v>
      </c>
      <c r="G433">
        <v>0</v>
      </c>
    </row>
    <row r="434" spans="1:9">
      <c r="A434" t="str">
        <f t="shared" si="30"/>
        <v>231</v>
      </c>
      <c r="B434" t="s">
        <v>441</v>
      </c>
      <c r="C434" t="str">
        <f>"129260"</f>
        <v>129260</v>
      </c>
      <c r="D434" t="s">
        <v>445</v>
      </c>
      <c r="E434">
        <v>830</v>
      </c>
      <c r="F434">
        <v>0</v>
      </c>
      <c r="G434">
        <v>0</v>
      </c>
    </row>
    <row r="435" spans="1:9">
      <c r="A435" t="str">
        <f t="shared" si="30"/>
        <v>231</v>
      </c>
      <c r="B435" t="s">
        <v>441</v>
      </c>
      <c r="C435" t="str">
        <f>"003280"</f>
        <v>003280</v>
      </c>
      <c r="D435" t="s">
        <v>446</v>
      </c>
      <c r="E435">
        <v>3186</v>
      </c>
      <c r="F435">
        <v>0</v>
      </c>
      <c r="G435">
        <v>0</v>
      </c>
    </row>
    <row r="436" spans="1:9">
      <c r="A436" t="str">
        <f t="shared" si="30"/>
        <v>231</v>
      </c>
      <c r="B436" t="s">
        <v>441</v>
      </c>
      <c r="C436" t="str">
        <f>"005880"</f>
        <v>005880</v>
      </c>
      <c r="D436" t="s">
        <v>447</v>
      </c>
      <c r="E436">
        <v>6431</v>
      </c>
      <c r="F436">
        <v>0</v>
      </c>
      <c r="G436">
        <v>0</v>
      </c>
    </row>
    <row r="437" spans="1:9">
      <c r="A437" t="str">
        <f t="shared" si="30"/>
        <v>231</v>
      </c>
      <c r="B437" t="s">
        <v>441</v>
      </c>
      <c r="C437" t="str">
        <f>"028670"</f>
        <v>028670</v>
      </c>
      <c r="D437" t="s">
        <v>448</v>
      </c>
      <c r="E437">
        <v>27744</v>
      </c>
      <c r="F437">
        <v>0</v>
      </c>
      <c r="G437">
        <v>0</v>
      </c>
    </row>
    <row r="438" spans="1:9">
      <c r="A438" t="str">
        <f t="shared" ref="A438:A455" si="31">"515"</f>
        <v>515</v>
      </c>
      <c r="B438" t="s">
        <v>449</v>
      </c>
      <c r="C438" t="str">
        <f>"033240"</f>
        <v>033240</v>
      </c>
      <c r="D438" t="s">
        <v>429</v>
      </c>
      <c r="E438">
        <v>4506</v>
      </c>
      <c r="F438">
        <v>0</v>
      </c>
      <c r="G438">
        <v>0</v>
      </c>
    </row>
    <row r="439" spans="1:9">
      <c r="A439" t="str">
        <f t="shared" si="31"/>
        <v>515</v>
      </c>
      <c r="B439" t="s">
        <v>449</v>
      </c>
      <c r="C439" t="str">
        <f>"091120"</f>
        <v>091120</v>
      </c>
      <c r="D439" t="s">
        <v>450</v>
      </c>
      <c r="E439">
        <v>3838</v>
      </c>
      <c r="F439">
        <v>0</v>
      </c>
      <c r="G439">
        <v>0</v>
      </c>
    </row>
    <row r="440" spans="1:9">
      <c r="A440" t="str">
        <f t="shared" si="31"/>
        <v>515</v>
      </c>
      <c r="B440" t="s">
        <v>449</v>
      </c>
      <c r="C440" t="str">
        <f>"009150"</f>
        <v>009150</v>
      </c>
      <c r="D440" t="s">
        <v>451</v>
      </c>
      <c r="E440">
        <v>108306</v>
      </c>
      <c r="F440">
        <v>0</v>
      </c>
      <c r="G440">
        <v>0</v>
      </c>
    </row>
    <row r="441" spans="1:9" ht="82.5">
      <c r="A441" t="str">
        <f t="shared" si="31"/>
        <v>515</v>
      </c>
      <c r="B441" t="s">
        <v>449</v>
      </c>
      <c r="C441" t="str">
        <f>"050110"</f>
        <v>050110</v>
      </c>
      <c r="D441" t="s">
        <v>452</v>
      </c>
      <c r="E441">
        <v>1576</v>
      </c>
      <c r="F441">
        <v>0</v>
      </c>
      <c r="G441">
        <v>0</v>
      </c>
      <c r="H441" s="1" t="s">
        <v>453</v>
      </c>
      <c r="I441" t="s">
        <v>322</v>
      </c>
    </row>
    <row r="442" spans="1:9">
      <c r="A442" t="str">
        <f t="shared" si="31"/>
        <v>515</v>
      </c>
      <c r="B442" t="s">
        <v>449</v>
      </c>
      <c r="C442" t="str">
        <f>"020760"</f>
        <v>020760</v>
      </c>
      <c r="D442" t="s">
        <v>199</v>
      </c>
      <c r="E442">
        <v>598</v>
      </c>
      <c r="F442">
        <v>0</v>
      </c>
      <c r="G442">
        <v>0</v>
      </c>
    </row>
    <row r="443" spans="1:9">
      <c r="A443" t="str">
        <f t="shared" si="31"/>
        <v>515</v>
      </c>
      <c r="B443" t="s">
        <v>449</v>
      </c>
      <c r="C443" t="str">
        <f>"122990"</f>
        <v>122990</v>
      </c>
      <c r="D443" t="s">
        <v>454</v>
      </c>
      <c r="E443">
        <v>1821</v>
      </c>
      <c r="F443">
        <v>0</v>
      </c>
      <c r="G443">
        <v>0</v>
      </c>
    </row>
    <row r="444" spans="1:9">
      <c r="A444" t="str">
        <f t="shared" si="31"/>
        <v>515</v>
      </c>
      <c r="B444" t="s">
        <v>449</v>
      </c>
      <c r="C444" t="str">
        <f>"052860"</f>
        <v>052860</v>
      </c>
      <c r="D444" t="s">
        <v>411</v>
      </c>
      <c r="E444">
        <v>423</v>
      </c>
      <c r="F444">
        <v>0</v>
      </c>
      <c r="G444">
        <v>0</v>
      </c>
    </row>
    <row r="445" spans="1:9">
      <c r="A445" t="str">
        <f t="shared" si="31"/>
        <v>515</v>
      </c>
      <c r="B445" t="s">
        <v>449</v>
      </c>
      <c r="C445" t="str">
        <f>"008060"</f>
        <v>008060</v>
      </c>
      <c r="D445" t="s">
        <v>127</v>
      </c>
      <c r="E445">
        <v>2091</v>
      </c>
      <c r="F445">
        <v>0</v>
      </c>
      <c r="G445">
        <v>0</v>
      </c>
    </row>
    <row r="446" spans="1:9">
      <c r="A446" t="str">
        <f t="shared" si="31"/>
        <v>515</v>
      </c>
      <c r="B446" t="s">
        <v>449</v>
      </c>
      <c r="C446" t="str">
        <f>"096640"</f>
        <v>096640</v>
      </c>
      <c r="D446" t="s">
        <v>455</v>
      </c>
      <c r="E446">
        <v>695</v>
      </c>
      <c r="F446">
        <v>0</v>
      </c>
      <c r="G446">
        <v>0</v>
      </c>
    </row>
    <row r="447" spans="1:9">
      <c r="A447" t="str">
        <f t="shared" si="31"/>
        <v>515</v>
      </c>
      <c r="B447" t="s">
        <v>449</v>
      </c>
      <c r="C447" t="str">
        <f>"061040"</f>
        <v>061040</v>
      </c>
      <c r="D447" t="s">
        <v>216</v>
      </c>
      <c r="E447">
        <v>1733</v>
      </c>
      <c r="F447">
        <v>0</v>
      </c>
      <c r="G447">
        <v>0</v>
      </c>
    </row>
    <row r="448" spans="1:9">
      <c r="A448" t="str">
        <f t="shared" si="31"/>
        <v>515</v>
      </c>
      <c r="B448" t="s">
        <v>449</v>
      </c>
      <c r="C448" t="str">
        <f>"091700"</f>
        <v>091700</v>
      </c>
      <c r="D448" t="s">
        <v>119</v>
      </c>
      <c r="E448">
        <v>4790</v>
      </c>
      <c r="F448">
        <v>0</v>
      </c>
      <c r="G448">
        <v>0</v>
      </c>
    </row>
    <row r="449" spans="1:7">
      <c r="A449" t="str">
        <f t="shared" si="31"/>
        <v>515</v>
      </c>
      <c r="B449" t="s">
        <v>449</v>
      </c>
      <c r="C449" t="str">
        <f>"051370"</f>
        <v>051370</v>
      </c>
      <c r="D449" t="s">
        <v>202</v>
      </c>
      <c r="E449">
        <v>2155</v>
      </c>
      <c r="F449">
        <v>0</v>
      </c>
      <c r="G449">
        <v>0</v>
      </c>
    </row>
    <row r="450" spans="1:7">
      <c r="A450" t="str">
        <f t="shared" si="31"/>
        <v>515</v>
      </c>
      <c r="B450" t="s">
        <v>449</v>
      </c>
      <c r="C450" t="str">
        <f>"052710"</f>
        <v>052710</v>
      </c>
      <c r="D450" t="s">
        <v>123</v>
      </c>
      <c r="E450">
        <v>2626</v>
      </c>
      <c r="F450">
        <v>0</v>
      </c>
      <c r="G450">
        <v>0</v>
      </c>
    </row>
    <row r="451" spans="1:7">
      <c r="A451" t="str">
        <f t="shared" si="31"/>
        <v>515</v>
      </c>
      <c r="B451" t="s">
        <v>449</v>
      </c>
      <c r="C451" t="str">
        <f>"047310"</f>
        <v>047310</v>
      </c>
      <c r="D451" t="s">
        <v>456</v>
      </c>
      <c r="E451">
        <v>1533</v>
      </c>
      <c r="F451">
        <v>0</v>
      </c>
      <c r="G451">
        <v>0</v>
      </c>
    </row>
    <row r="452" spans="1:7">
      <c r="A452" t="str">
        <f t="shared" si="31"/>
        <v>515</v>
      </c>
      <c r="B452" t="s">
        <v>449</v>
      </c>
      <c r="C452" t="str">
        <f>"007810"</f>
        <v>007810</v>
      </c>
      <c r="D452" t="s">
        <v>130</v>
      </c>
      <c r="E452">
        <v>3083</v>
      </c>
      <c r="F452">
        <v>0</v>
      </c>
      <c r="G452">
        <v>0</v>
      </c>
    </row>
    <row r="453" spans="1:7">
      <c r="A453" t="str">
        <f t="shared" si="31"/>
        <v>515</v>
      </c>
      <c r="B453" t="s">
        <v>449</v>
      </c>
      <c r="C453" t="str">
        <f>"080420"</f>
        <v>080420</v>
      </c>
      <c r="D453" t="s">
        <v>239</v>
      </c>
      <c r="E453">
        <v>2428</v>
      </c>
      <c r="F453">
        <v>0</v>
      </c>
      <c r="G453">
        <v>0</v>
      </c>
    </row>
    <row r="454" spans="1:7">
      <c r="A454" t="str">
        <f t="shared" si="31"/>
        <v>515</v>
      </c>
      <c r="B454" t="s">
        <v>449</v>
      </c>
      <c r="C454" t="str">
        <f>"049070"</f>
        <v>049070</v>
      </c>
      <c r="D454" t="s">
        <v>433</v>
      </c>
      <c r="E454">
        <v>4756</v>
      </c>
      <c r="F454">
        <v>0</v>
      </c>
      <c r="G454">
        <v>0</v>
      </c>
    </row>
    <row r="455" spans="1:7">
      <c r="A455" t="str">
        <f t="shared" si="31"/>
        <v>515</v>
      </c>
      <c r="B455" t="s">
        <v>449</v>
      </c>
      <c r="C455" t="str">
        <f>"090460"</f>
        <v>090460</v>
      </c>
      <c r="D455" t="s">
        <v>457</v>
      </c>
      <c r="E455">
        <v>7203</v>
      </c>
      <c r="F455">
        <v>0</v>
      </c>
      <c r="G455">
        <v>0</v>
      </c>
    </row>
    <row r="456" spans="1:7">
      <c r="A456" t="str">
        <f t="shared" ref="A456:A462" si="32">"362"</f>
        <v>362</v>
      </c>
      <c r="B456" t="s">
        <v>458</v>
      </c>
      <c r="C456" t="str">
        <f>"950130"</f>
        <v>950130</v>
      </c>
      <c r="D456" t="s">
        <v>459</v>
      </c>
      <c r="E456">
        <v>4503</v>
      </c>
      <c r="F456">
        <v>0</v>
      </c>
      <c r="G456">
        <v>0</v>
      </c>
    </row>
    <row r="457" spans="1:7">
      <c r="A457" t="str">
        <f t="shared" si="32"/>
        <v>362</v>
      </c>
      <c r="B457" t="s">
        <v>458</v>
      </c>
      <c r="C457" t="str">
        <f>"052260"</f>
        <v>052260</v>
      </c>
      <c r="D457" t="s">
        <v>460</v>
      </c>
      <c r="E457">
        <v>1958</v>
      </c>
      <c r="F457">
        <v>0</v>
      </c>
      <c r="G457">
        <v>0</v>
      </c>
    </row>
    <row r="458" spans="1:7">
      <c r="A458" t="str">
        <f t="shared" si="32"/>
        <v>362</v>
      </c>
      <c r="B458" t="s">
        <v>458</v>
      </c>
      <c r="C458" t="str">
        <f>"096530"</f>
        <v>096530</v>
      </c>
      <c r="D458" t="s">
        <v>223</v>
      </c>
      <c r="E458">
        <v>14493</v>
      </c>
      <c r="F458">
        <v>0</v>
      </c>
      <c r="G458">
        <v>0</v>
      </c>
    </row>
    <row r="459" spans="1:7">
      <c r="A459" t="str">
        <f t="shared" si="32"/>
        <v>362</v>
      </c>
      <c r="B459" t="s">
        <v>458</v>
      </c>
      <c r="C459" t="str">
        <f>"004080"</f>
        <v>004080</v>
      </c>
      <c r="D459" t="s">
        <v>461</v>
      </c>
      <c r="E459">
        <v>1406</v>
      </c>
      <c r="F459">
        <v>0</v>
      </c>
      <c r="G459">
        <v>0</v>
      </c>
    </row>
    <row r="460" spans="1:7">
      <c r="A460" t="str">
        <f t="shared" si="32"/>
        <v>362</v>
      </c>
      <c r="B460" t="s">
        <v>458</v>
      </c>
      <c r="C460" t="str">
        <f>"099190"</f>
        <v>099190</v>
      </c>
      <c r="D460" t="s">
        <v>462</v>
      </c>
      <c r="E460">
        <v>4511</v>
      </c>
      <c r="F460">
        <v>0</v>
      </c>
      <c r="G460">
        <v>0</v>
      </c>
    </row>
    <row r="461" spans="1:7">
      <c r="A461" t="str">
        <f t="shared" si="32"/>
        <v>362</v>
      </c>
      <c r="B461" t="s">
        <v>458</v>
      </c>
      <c r="C461" t="str">
        <f>"064550"</f>
        <v>064550</v>
      </c>
      <c r="D461" t="s">
        <v>463</v>
      </c>
      <c r="E461">
        <v>7317</v>
      </c>
      <c r="F461">
        <v>0</v>
      </c>
      <c r="G461">
        <v>0</v>
      </c>
    </row>
    <row r="462" spans="1:7">
      <c r="A462" t="str">
        <f t="shared" si="32"/>
        <v>362</v>
      </c>
      <c r="B462" t="s">
        <v>458</v>
      </c>
      <c r="C462" t="str">
        <f>"036220"</f>
        <v>036220</v>
      </c>
      <c r="D462" t="s">
        <v>464</v>
      </c>
      <c r="E462">
        <v>1686</v>
      </c>
      <c r="F462">
        <v>0</v>
      </c>
      <c r="G462">
        <v>0</v>
      </c>
    </row>
    <row r="463" spans="1:7">
      <c r="A463" t="str">
        <f t="shared" ref="A463:A474" si="33">"514"</f>
        <v>514</v>
      </c>
      <c r="B463" t="s">
        <v>465</v>
      </c>
      <c r="C463" t="str">
        <f>"033240"</f>
        <v>033240</v>
      </c>
      <c r="D463" t="s">
        <v>429</v>
      </c>
      <c r="E463">
        <v>4506</v>
      </c>
      <c r="F463">
        <v>0</v>
      </c>
      <c r="G463">
        <v>0</v>
      </c>
    </row>
    <row r="464" spans="1:7">
      <c r="A464" t="str">
        <f t="shared" si="33"/>
        <v>514</v>
      </c>
      <c r="B464" t="s">
        <v>465</v>
      </c>
      <c r="C464" t="str">
        <f>"101390"</f>
        <v>101390</v>
      </c>
      <c r="D464" t="s">
        <v>311</v>
      </c>
      <c r="E464">
        <v>399</v>
      </c>
      <c r="F464">
        <v>0</v>
      </c>
      <c r="G464">
        <v>0</v>
      </c>
    </row>
    <row r="465" spans="1:9">
      <c r="A465" t="str">
        <f t="shared" si="33"/>
        <v>514</v>
      </c>
      <c r="B465" t="s">
        <v>465</v>
      </c>
      <c r="C465" t="str">
        <f>"097520"</f>
        <v>097520</v>
      </c>
      <c r="D465" t="s">
        <v>466</v>
      </c>
      <c r="E465">
        <v>4980</v>
      </c>
      <c r="F465">
        <v>0</v>
      </c>
      <c r="G465">
        <v>0</v>
      </c>
    </row>
    <row r="466" spans="1:9">
      <c r="A466" t="str">
        <f t="shared" si="33"/>
        <v>514</v>
      </c>
      <c r="B466" t="s">
        <v>465</v>
      </c>
      <c r="C466" t="str">
        <f>"009150"</f>
        <v>009150</v>
      </c>
      <c r="D466" t="s">
        <v>451</v>
      </c>
      <c r="E466">
        <v>108306</v>
      </c>
      <c r="F466">
        <v>0</v>
      </c>
      <c r="G466">
        <v>0</v>
      </c>
    </row>
    <row r="467" spans="1:9">
      <c r="A467" t="str">
        <f t="shared" si="33"/>
        <v>514</v>
      </c>
      <c r="B467" t="s">
        <v>465</v>
      </c>
      <c r="C467" t="str">
        <f>"050110"</f>
        <v>050110</v>
      </c>
      <c r="D467" t="s">
        <v>452</v>
      </c>
      <c r="E467">
        <v>1325</v>
      </c>
      <c r="F467">
        <v>0</v>
      </c>
      <c r="G467">
        <v>0</v>
      </c>
    </row>
    <row r="468" spans="1:9">
      <c r="A468" t="str">
        <f t="shared" si="33"/>
        <v>514</v>
      </c>
      <c r="B468" t="s">
        <v>465</v>
      </c>
      <c r="C468" t="str">
        <f>"082210"</f>
        <v>082210</v>
      </c>
      <c r="D468" t="s">
        <v>467</v>
      </c>
      <c r="E468">
        <v>864</v>
      </c>
      <c r="F468">
        <v>0</v>
      </c>
      <c r="G468">
        <v>0</v>
      </c>
    </row>
    <row r="469" spans="1:9">
      <c r="A469" t="str">
        <f t="shared" si="33"/>
        <v>514</v>
      </c>
      <c r="B469" t="s">
        <v>465</v>
      </c>
      <c r="C469" t="str">
        <f>"078650"</f>
        <v>078650</v>
      </c>
      <c r="D469" t="s">
        <v>468</v>
      </c>
      <c r="E469">
        <v>86</v>
      </c>
      <c r="F469">
        <v>0</v>
      </c>
      <c r="G469">
        <v>0</v>
      </c>
    </row>
    <row r="470" spans="1:9">
      <c r="A470" t="str">
        <f t="shared" si="33"/>
        <v>514</v>
      </c>
      <c r="B470" t="s">
        <v>465</v>
      </c>
      <c r="C470" t="str">
        <f>"091700"</f>
        <v>091700</v>
      </c>
      <c r="D470" t="s">
        <v>119</v>
      </c>
      <c r="E470">
        <v>4790</v>
      </c>
      <c r="F470">
        <v>0</v>
      </c>
      <c r="G470">
        <v>0</v>
      </c>
    </row>
    <row r="471" spans="1:9">
      <c r="A471" t="str">
        <f t="shared" si="33"/>
        <v>514</v>
      </c>
      <c r="B471" t="s">
        <v>465</v>
      </c>
      <c r="C471" t="str">
        <f>"011070"</f>
        <v>011070</v>
      </c>
      <c r="D471" t="s">
        <v>363</v>
      </c>
      <c r="E471">
        <v>62481</v>
      </c>
      <c r="F471">
        <v>0</v>
      </c>
      <c r="G471">
        <v>0</v>
      </c>
    </row>
    <row r="472" spans="1:9">
      <c r="A472" t="str">
        <f t="shared" si="33"/>
        <v>514</v>
      </c>
      <c r="B472" t="s">
        <v>465</v>
      </c>
      <c r="C472" t="str">
        <f>"126700"</f>
        <v>126700</v>
      </c>
      <c r="D472" t="s">
        <v>238</v>
      </c>
      <c r="E472">
        <v>2817</v>
      </c>
      <c r="F472">
        <v>0</v>
      </c>
      <c r="G472">
        <v>0</v>
      </c>
    </row>
    <row r="473" spans="1:9">
      <c r="A473" t="str">
        <f t="shared" si="33"/>
        <v>514</v>
      </c>
      <c r="B473" t="s">
        <v>465</v>
      </c>
      <c r="C473" t="str">
        <f>"151910"</f>
        <v>151910</v>
      </c>
      <c r="D473" t="s">
        <v>469</v>
      </c>
      <c r="E473">
        <v>1406</v>
      </c>
      <c r="F473">
        <v>0</v>
      </c>
      <c r="G473">
        <v>0</v>
      </c>
    </row>
    <row r="474" spans="1:9">
      <c r="A474" t="str">
        <f t="shared" si="33"/>
        <v>514</v>
      </c>
      <c r="B474" t="s">
        <v>465</v>
      </c>
      <c r="C474" t="str">
        <f>"053450"</f>
        <v>053450</v>
      </c>
      <c r="D474" t="s">
        <v>470</v>
      </c>
      <c r="E474">
        <v>784</v>
      </c>
      <c r="F474">
        <v>0</v>
      </c>
      <c r="G474">
        <v>0</v>
      </c>
    </row>
    <row r="475" spans="1:9">
      <c r="A475" t="str">
        <f>"230"</f>
        <v>230</v>
      </c>
      <c r="B475" t="s">
        <v>471</v>
      </c>
      <c r="C475" t="str">
        <f>"020560"</f>
        <v>020560</v>
      </c>
      <c r="D475" t="s">
        <v>472</v>
      </c>
      <c r="E475">
        <v>10120</v>
      </c>
      <c r="F475">
        <v>0</v>
      </c>
      <c r="G475">
        <v>0</v>
      </c>
    </row>
    <row r="476" spans="1:9" ht="49.5">
      <c r="A476" t="str">
        <f t="shared" ref="A476:A478" si="34">"230"</f>
        <v>230</v>
      </c>
      <c r="B476" t="s">
        <v>471</v>
      </c>
      <c r="C476" t="str">
        <f>"298690"</f>
        <v>298690</v>
      </c>
      <c r="D476" t="s">
        <v>473</v>
      </c>
      <c r="E476">
        <v>4409</v>
      </c>
      <c r="F476">
        <v>0</v>
      </c>
      <c r="G476">
        <v>0</v>
      </c>
      <c r="H476" s="1" t="s">
        <v>474</v>
      </c>
      <c r="I476" t="s">
        <v>12</v>
      </c>
    </row>
    <row r="477" spans="1:9">
      <c r="A477" t="str">
        <f t="shared" si="34"/>
        <v>230</v>
      </c>
      <c r="B477" t="s">
        <v>471</v>
      </c>
      <c r="C477" t="str">
        <f>"091810"</f>
        <v>091810</v>
      </c>
      <c r="D477" t="s">
        <v>475</v>
      </c>
      <c r="E477">
        <v>4874</v>
      </c>
      <c r="I477" t="s">
        <v>12</v>
      </c>
    </row>
    <row r="478" spans="1:9">
      <c r="A478" t="str">
        <f t="shared" si="34"/>
        <v>230</v>
      </c>
      <c r="B478" t="s">
        <v>471</v>
      </c>
      <c r="C478" t="str">
        <f>"003490"</f>
        <v>003490</v>
      </c>
      <c r="D478" t="s">
        <v>476</v>
      </c>
      <c r="E478">
        <v>85611</v>
      </c>
      <c r="F478">
        <v>0</v>
      </c>
      <c r="G478">
        <v>0</v>
      </c>
    </row>
    <row r="479" spans="1:9">
      <c r="A479" t="str">
        <f>"451"</f>
        <v>451</v>
      </c>
      <c r="B479" t="s">
        <v>477</v>
      </c>
      <c r="C479" t="str">
        <f>"094280"</f>
        <v>094280</v>
      </c>
      <c r="D479" t="s">
        <v>478</v>
      </c>
      <c r="E479">
        <v>1549</v>
      </c>
      <c r="F479">
        <v>0</v>
      </c>
      <c r="G479">
        <v>0</v>
      </c>
    </row>
    <row r="480" spans="1:9">
      <c r="A480" t="str">
        <f>"451"</f>
        <v>451</v>
      </c>
      <c r="B480" t="s">
        <v>477</v>
      </c>
      <c r="C480" t="str">
        <f>"058860"</f>
        <v>058860</v>
      </c>
      <c r="D480" t="s">
        <v>479</v>
      </c>
      <c r="E480">
        <v>835</v>
      </c>
      <c r="F480">
        <v>0</v>
      </c>
      <c r="G480">
        <v>0</v>
      </c>
    </row>
    <row r="481" spans="1:7">
      <c r="A481" t="str">
        <f>"451"</f>
        <v>451</v>
      </c>
      <c r="B481" t="s">
        <v>477</v>
      </c>
      <c r="C481" t="str">
        <f>"058850"</f>
        <v>058850</v>
      </c>
      <c r="D481" t="s">
        <v>480</v>
      </c>
      <c r="E481">
        <v>918</v>
      </c>
      <c r="F481">
        <v>0</v>
      </c>
      <c r="G481">
        <v>0</v>
      </c>
    </row>
    <row r="482" spans="1:7">
      <c r="A482" t="str">
        <f>"451"</f>
        <v>451</v>
      </c>
      <c r="B482" t="s">
        <v>477</v>
      </c>
      <c r="C482" t="str">
        <f>"050540"</f>
        <v>050540</v>
      </c>
      <c r="D482" t="s">
        <v>481</v>
      </c>
      <c r="E482">
        <v>42</v>
      </c>
      <c r="F482">
        <v>0</v>
      </c>
      <c r="G482">
        <v>0</v>
      </c>
    </row>
    <row r="483" spans="1:7">
      <c r="A483" t="str">
        <f t="shared" ref="A483:A491" si="35">"513"</f>
        <v>513</v>
      </c>
      <c r="B483" t="s">
        <v>482</v>
      </c>
      <c r="C483" t="str">
        <f>"093230"</f>
        <v>093230</v>
      </c>
      <c r="D483" t="s">
        <v>483</v>
      </c>
      <c r="E483">
        <v>914</v>
      </c>
      <c r="F483">
        <v>0</v>
      </c>
      <c r="G483">
        <v>0</v>
      </c>
    </row>
    <row r="484" spans="1:7">
      <c r="A484" t="str">
        <f t="shared" si="35"/>
        <v>513</v>
      </c>
      <c r="B484" t="s">
        <v>482</v>
      </c>
      <c r="C484" t="str">
        <f>"049630"</f>
        <v>049630</v>
      </c>
      <c r="D484" t="s">
        <v>484</v>
      </c>
      <c r="E484">
        <v>452</v>
      </c>
      <c r="F484">
        <v>0</v>
      </c>
      <c r="G484">
        <v>0</v>
      </c>
    </row>
    <row r="485" spans="1:7">
      <c r="A485" t="str">
        <f t="shared" si="35"/>
        <v>513</v>
      </c>
      <c r="B485" t="s">
        <v>482</v>
      </c>
      <c r="C485" t="str">
        <f>"065680"</f>
        <v>065680</v>
      </c>
      <c r="D485" t="s">
        <v>485</v>
      </c>
      <c r="E485">
        <v>1326</v>
      </c>
      <c r="F485">
        <v>0</v>
      </c>
      <c r="G485">
        <v>0</v>
      </c>
    </row>
    <row r="486" spans="1:7">
      <c r="A486" t="str">
        <f t="shared" si="35"/>
        <v>513</v>
      </c>
      <c r="B486" t="s">
        <v>482</v>
      </c>
      <c r="C486" t="str">
        <f>"083470"</f>
        <v>083470</v>
      </c>
      <c r="D486" t="s">
        <v>486</v>
      </c>
      <c r="E486">
        <v>1124</v>
      </c>
      <c r="F486">
        <v>0</v>
      </c>
      <c r="G486">
        <v>0</v>
      </c>
    </row>
    <row r="487" spans="1:7">
      <c r="A487" t="str">
        <f t="shared" si="35"/>
        <v>513</v>
      </c>
      <c r="B487" t="s">
        <v>482</v>
      </c>
      <c r="C487" t="str">
        <f>"101330"</f>
        <v>101330</v>
      </c>
      <c r="D487" t="s">
        <v>431</v>
      </c>
      <c r="E487">
        <v>725</v>
      </c>
      <c r="F487">
        <v>0</v>
      </c>
      <c r="G487">
        <v>0</v>
      </c>
    </row>
    <row r="488" spans="1:7">
      <c r="A488" t="str">
        <f t="shared" si="35"/>
        <v>513</v>
      </c>
      <c r="B488" t="s">
        <v>482</v>
      </c>
      <c r="C488" t="str">
        <f>"025540"</f>
        <v>025540</v>
      </c>
      <c r="D488" t="s">
        <v>487</v>
      </c>
      <c r="E488">
        <v>5208</v>
      </c>
      <c r="F488">
        <v>0</v>
      </c>
      <c r="G488">
        <v>0</v>
      </c>
    </row>
    <row r="489" spans="1:7">
      <c r="A489" t="str">
        <f t="shared" si="35"/>
        <v>513</v>
      </c>
      <c r="B489" t="s">
        <v>482</v>
      </c>
      <c r="C489" t="str">
        <f>"082660"</f>
        <v>082660</v>
      </c>
      <c r="D489" t="s">
        <v>488</v>
      </c>
      <c r="E489">
        <v>338</v>
      </c>
      <c r="F489">
        <v>0</v>
      </c>
      <c r="G489">
        <v>0</v>
      </c>
    </row>
    <row r="490" spans="1:7">
      <c r="A490" t="str">
        <f t="shared" si="35"/>
        <v>513</v>
      </c>
      <c r="B490" t="s">
        <v>482</v>
      </c>
      <c r="C490" t="str">
        <f>"060720"</f>
        <v>060720</v>
      </c>
      <c r="D490" t="s">
        <v>203</v>
      </c>
      <c r="E490">
        <v>3185</v>
      </c>
      <c r="F490">
        <v>0</v>
      </c>
      <c r="G490">
        <v>0</v>
      </c>
    </row>
    <row r="491" spans="1:7">
      <c r="A491" t="str">
        <f t="shared" si="35"/>
        <v>513</v>
      </c>
      <c r="B491" t="s">
        <v>482</v>
      </c>
      <c r="C491" t="str">
        <f>"049070"</f>
        <v>049070</v>
      </c>
      <c r="D491" t="s">
        <v>433</v>
      </c>
      <c r="E491">
        <v>4756</v>
      </c>
      <c r="F491">
        <v>0</v>
      </c>
      <c r="G491">
        <v>0</v>
      </c>
    </row>
    <row r="492" spans="1:7">
      <c r="A492" t="str">
        <f>"256"</f>
        <v>256</v>
      </c>
      <c r="B492" t="s">
        <v>489</v>
      </c>
      <c r="C492" t="str">
        <f>"111770"</f>
        <v>111770</v>
      </c>
      <c r="D492" t="s">
        <v>490</v>
      </c>
      <c r="E492">
        <v>19209</v>
      </c>
      <c r="F492">
        <v>0</v>
      </c>
      <c r="G492">
        <v>0</v>
      </c>
    </row>
    <row r="493" spans="1:7">
      <c r="A493" t="str">
        <f>"256"</f>
        <v>256</v>
      </c>
      <c r="B493" t="s">
        <v>489</v>
      </c>
      <c r="C493" t="str">
        <f>"009270"</f>
        <v>009270</v>
      </c>
      <c r="D493" t="s">
        <v>491</v>
      </c>
      <c r="E493">
        <v>1513</v>
      </c>
      <c r="F493">
        <v>0</v>
      </c>
      <c r="G493">
        <v>0</v>
      </c>
    </row>
    <row r="494" spans="1:7">
      <c r="A494" t="str">
        <f>"256"</f>
        <v>256</v>
      </c>
      <c r="B494" t="s">
        <v>489</v>
      </c>
      <c r="C494" t="str">
        <f>"005390"</f>
        <v>005390</v>
      </c>
      <c r="D494" t="s">
        <v>492</v>
      </c>
      <c r="E494">
        <v>3334</v>
      </c>
      <c r="F494">
        <v>0</v>
      </c>
      <c r="G494">
        <v>0</v>
      </c>
    </row>
    <row r="495" spans="1:7">
      <c r="A495" t="str">
        <f>"256"</f>
        <v>256</v>
      </c>
      <c r="B495" t="s">
        <v>489</v>
      </c>
      <c r="C495" t="str">
        <f>"007980"</f>
        <v>007980</v>
      </c>
      <c r="D495" t="s">
        <v>493</v>
      </c>
      <c r="E495">
        <v>844</v>
      </c>
      <c r="F495">
        <v>0</v>
      </c>
      <c r="G495">
        <v>0</v>
      </c>
    </row>
    <row r="496" spans="1:7">
      <c r="A496" t="str">
        <f>"256"</f>
        <v>256</v>
      </c>
      <c r="B496" t="s">
        <v>489</v>
      </c>
      <c r="C496" t="str">
        <f>"105630"</f>
        <v>105630</v>
      </c>
      <c r="D496" t="s">
        <v>494</v>
      </c>
      <c r="E496">
        <v>5880</v>
      </c>
      <c r="F496">
        <v>0</v>
      </c>
      <c r="G496">
        <v>0</v>
      </c>
    </row>
    <row r="497" spans="1:9">
      <c r="A497" t="str">
        <f>"318"</f>
        <v>318</v>
      </c>
      <c r="B497" t="s">
        <v>495</v>
      </c>
      <c r="C497" t="str">
        <f>"005440"</f>
        <v>005440</v>
      </c>
      <c r="D497" t="s">
        <v>496</v>
      </c>
      <c r="E497">
        <v>6536</v>
      </c>
      <c r="F497">
        <v>0</v>
      </c>
      <c r="G497">
        <v>0</v>
      </c>
    </row>
    <row r="498" spans="1:9">
      <c r="A498" t="str">
        <f>"318"</f>
        <v>318</v>
      </c>
      <c r="B498" t="s">
        <v>495</v>
      </c>
      <c r="C498" t="str">
        <f>"031440"</f>
        <v>031440</v>
      </c>
      <c r="D498" t="s">
        <v>497</v>
      </c>
      <c r="E498">
        <v>1839</v>
      </c>
      <c r="F498">
        <v>0</v>
      </c>
      <c r="G498">
        <v>0</v>
      </c>
    </row>
    <row r="499" spans="1:9">
      <c r="A499" t="str">
        <f>"318"</f>
        <v>318</v>
      </c>
      <c r="B499" t="s">
        <v>495</v>
      </c>
      <c r="C499" t="str">
        <f>"001680"</f>
        <v>001680</v>
      </c>
      <c r="D499" t="s">
        <v>498</v>
      </c>
      <c r="E499">
        <v>7259</v>
      </c>
      <c r="F499">
        <v>0</v>
      </c>
      <c r="G499">
        <v>0</v>
      </c>
    </row>
    <row r="500" spans="1:9">
      <c r="A500" t="str">
        <f>"318"</f>
        <v>318</v>
      </c>
      <c r="B500" t="s">
        <v>495</v>
      </c>
      <c r="C500" t="str">
        <f>"051500"</f>
        <v>051500</v>
      </c>
      <c r="D500" t="s">
        <v>499</v>
      </c>
      <c r="E500">
        <v>3639</v>
      </c>
      <c r="F500">
        <v>0</v>
      </c>
      <c r="G500">
        <v>0</v>
      </c>
    </row>
    <row r="501" spans="1:9">
      <c r="A501" t="str">
        <f t="shared" ref="A501:A515" si="36">"470"</f>
        <v>470</v>
      </c>
      <c r="B501" t="s">
        <v>500</v>
      </c>
      <c r="C501" t="str">
        <f>"112040"</f>
        <v>112040</v>
      </c>
      <c r="D501" t="s">
        <v>42</v>
      </c>
      <c r="E501">
        <v>11187</v>
      </c>
      <c r="F501">
        <v>0</v>
      </c>
      <c r="G501">
        <v>0</v>
      </c>
    </row>
    <row r="502" spans="1:9" ht="49.5">
      <c r="A502" t="str">
        <f t="shared" si="36"/>
        <v>470</v>
      </c>
      <c r="B502" t="s">
        <v>500</v>
      </c>
      <c r="C502" t="str">
        <f>"066910"</f>
        <v>066910</v>
      </c>
      <c r="D502" t="s">
        <v>369</v>
      </c>
      <c r="E502">
        <v>522</v>
      </c>
      <c r="F502">
        <v>0</v>
      </c>
      <c r="G502">
        <v>0</v>
      </c>
      <c r="H502" s="1" t="s">
        <v>370</v>
      </c>
      <c r="I502" t="s">
        <v>322</v>
      </c>
    </row>
    <row r="503" spans="1:9">
      <c r="A503" t="str">
        <f t="shared" si="36"/>
        <v>470</v>
      </c>
      <c r="B503" t="s">
        <v>500</v>
      </c>
      <c r="C503" t="str">
        <f>"095660"</f>
        <v>095660</v>
      </c>
      <c r="D503" t="s">
        <v>59</v>
      </c>
      <c r="E503">
        <v>8020</v>
      </c>
      <c r="F503">
        <v>0</v>
      </c>
      <c r="G503">
        <v>0</v>
      </c>
    </row>
    <row r="504" spans="1:9">
      <c r="A504" t="str">
        <f t="shared" si="36"/>
        <v>470</v>
      </c>
      <c r="B504" t="s">
        <v>500</v>
      </c>
      <c r="C504" t="str">
        <f>"069080"</f>
        <v>069080</v>
      </c>
      <c r="D504" t="s">
        <v>501</v>
      </c>
      <c r="E504">
        <v>5985</v>
      </c>
      <c r="F504">
        <v>0</v>
      </c>
      <c r="G504">
        <v>0</v>
      </c>
    </row>
    <row r="505" spans="1:9">
      <c r="A505" t="str">
        <f t="shared" si="36"/>
        <v>470</v>
      </c>
      <c r="B505" t="s">
        <v>500</v>
      </c>
      <c r="C505" t="str">
        <f>"023770"</f>
        <v>023770</v>
      </c>
      <c r="D505" t="s">
        <v>502</v>
      </c>
      <c r="E505">
        <v>571</v>
      </c>
      <c r="F505">
        <v>0</v>
      </c>
      <c r="G505">
        <v>0</v>
      </c>
    </row>
    <row r="506" spans="1:9">
      <c r="A506" t="str">
        <f t="shared" si="36"/>
        <v>470</v>
      </c>
      <c r="B506" t="s">
        <v>500</v>
      </c>
      <c r="C506" t="str">
        <f>"052770"</f>
        <v>052770</v>
      </c>
      <c r="D506" t="s">
        <v>503</v>
      </c>
      <c r="E506">
        <v>426</v>
      </c>
      <c r="F506">
        <v>0</v>
      </c>
      <c r="G506">
        <v>0</v>
      </c>
    </row>
    <row r="507" spans="1:9">
      <c r="A507" t="str">
        <f t="shared" si="36"/>
        <v>470</v>
      </c>
      <c r="B507" t="s">
        <v>500</v>
      </c>
      <c r="C507" t="str">
        <f>"047080"</f>
        <v>047080</v>
      </c>
      <c r="D507" t="s">
        <v>504</v>
      </c>
      <c r="E507">
        <v>762</v>
      </c>
      <c r="F507">
        <v>0</v>
      </c>
      <c r="G507">
        <v>0</v>
      </c>
    </row>
    <row r="508" spans="1:9">
      <c r="A508" t="str">
        <f t="shared" si="36"/>
        <v>470</v>
      </c>
      <c r="B508" t="s">
        <v>500</v>
      </c>
      <c r="C508" t="str">
        <f>"050120"</f>
        <v>050120</v>
      </c>
      <c r="D508" t="s">
        <v>505</v>
      </c>
      <c r="E508">
        <v>556</v>
      </c>
      <c r="F508">
        <v>0</v>
      </c>
      <c r="G508">
        <v>0</v>
      </c>
    </row>
    <row r="509" spans="1:9">
      <c r="A509" t="str">
        <f t="shared" si="36"/>
        <v>470</v>
      </c>
      <c r="B509" t="s">
        <v>500</v>
      </c>
      <c r="C509" t="str">
        <f>"047560"</f>
        <v>047560</v>
      </c>
      <c r="D509" t="s">
        <v>506</v>
      </c>
      <c r="E509">
        <v>992</v>
      </c>
      <c r="F509">
        <v>0</v>
      </c>
      <c r="G509">
        <v>0</v>
      </c>
    </row>
    <row r="510" spans="1:9">
      <c r="A510" t="str">
        <f t="shared" si="36"/>
        <v>470</v>
      </c>
      <c r="B510" t="s">
        <v>500</v>
      </c>
      <c r="C510" t="str">
        <f>"035620"</f>
        <v>035620</v>
      </c>
      <c r="D510" t="s">
        <v>507</v>
      </c>
      <c r="E510">
        <v>741</v>
      </c>
      <c r="F510">
        <v>0</v>
      </c>
      <c r="G510">
        <v>0</v>
      </c>
    </row>
    <row r="511" spans="1:9">
      <c r="A511" t="str">
        <f t="shared" si="36"/>
        <v>470</v>
      </c>
      <c r="B511" t="s">
        <v>500</v>
      </c>
      <c r="C511" t="str">
        <f>"101730"</f>
        <v>101730</v>
      </c>
      <c r="D511" t="s">
        <v>508</v>
      </c>
      <c r="E511">
        <v>3230</v>
      </c>
      <c r="F511">
        <v>0</v>
      </c>
      <c r="G511">
        <v>0</v>
      </c>
    </row>
    <row r="512" spans="1:9">
      <c r="A512" t="str">
        <f t="shared" si="36"/>
        <v>470</v>
      </c>
      <c r="B512" t="s">
        <v>500</v>
      </c>
      <c r="C512" t="str">
        <f>"058630"</f>
        <v>058630</v>
      </c>
      <c r="D512" t="s">
        <v>509</v>
      </c>
      <c r="E512">
        <v>1515</v>
      </c>
      <c r="F512">
        <v>0</v>
      </c>
      <c r="G512">
        <v>0</v>
      </c>
    </row>
    <row r="513" spans="1:7">
      <c r="A513" t="str">
        <f t="shared" si="36"/>
        <v>470</v>
      </c>
      <c r="B513" t="s">
        <v>500</v>
      </c>
      <c r="C513" t="str">
        <f>"030350"</f>
        <v>030350</v>
      </c>
      <c r="D513" t="s">
        <v>510</v>
      </c>
      <c r="E513">
        <v>423</v>
      </c>
      <c r="F513">
        <v>0</v>
      </c>
      <c r="G513">
        <v>0</v>
      </c>
    </row>
    <row r="514" spans="1:7">
      <c r="A514" t="str">
        <f t="shared" si="36"/>
        <v>470</v>
      </c>
      <c r="B514" t="s">
        <v>500</v>
      </c>
      <c r="C514" t="str">
        <f>"067000"</f>
        <v>067000</v>
      </c>
      <c r="D514" t="s">
        <v>60</v>
      </c>
      <c r="E514">
        <v>3207</v>
      </c>
      <c r="F514">
        <v>0</v>
      </c>
      <c r="G514">
        <v>0</v>
      </c>
    </row>
    <row r="515" spans="1:7">
      <c r="A515" t="str">
        <f t="shared" si="36"/>
        <v>470</v>
      </c>
      <c r="B515" t="s">
        <v>500</v>
      </c>
      <c r="C515" t="str">
        <f>"036570"</f>
        <v>036570</v>
      </c>
      <c r="D515" t="s">
        <v>511</v>
      </c>
      <c r="E515">
        <v>94951</v>
      </c>
      <c r="F515">
        <v>0</v>
      </c>
      <c r="G515">
        <v>0</v>
      </c>
    </row>
    <row r="516" spans="1:7">
      <c r="A516" t="str">
        <f t="shared" ref="A516:A524" si="37">"458"</f>
        <v>458</v>
      </c>
      <c r="B516" t="s">
        <v>512</v>
      </c>
      <c r="C516" t="str">
        <f>"094280"</f>
        <v>094280</v>
      </c>
      <c r="D516" t="s">
        <v>478</v>
      </c>
      <c r="E516">
        <v>1549</v>
      </c>
      <c r="F516">
        <v>0</v>
      </c>
      <c r="G516">
        <v>0</v>
      </c>
    </row>
    <row r="517" spans="1:7">
      <c r="A517" t="str">
        <f t="shared" si="37"/>
        <v>458</v>
      </c>
      <c r="B517" t="s">
        <v>512</v>
      </c>
      <c r="C517" t="str">
        <f>"010280"</f>
        <v>010280</v>
      </c>
      <c r="D517" t="s">
        <v>513</v>
      </c>
      <c r="E517">
        <v>523</v>
      </c>
      <c r="F517">
        <v>0</v>
      </c>
      <c r="G517">
        <v>0</v>
      </c>
    </row>
    <row r="518" spans="1:7">
      <c r="A518" t="str">
        <f t="shared" si="37"/>
        <v>458</v>
      </c>
      <c r="B518" t="s">
        <v>512</v>
      </c>
      <c r="C518" t="str">
        <f>"012510"</f>
        <v>012510</v>
      </c>
      <c r="D518" t="s">
        <v>435</v>
      </c>
      <c r="E518">
        <v>11515</v>
      </c>
      <c r="F518">
        <v>0</v>
      </c>
      <c r="G518">
        <v>0</v>
      </c>
    </row>
    <row r="519" spans="1:7">
      <c r="A519" t="str">
        <f t="shared" si="37"/>
        <v>458</v>
      </c>
      <c r="B519" t="s">
        <v>512</v>
      </c>
      <c r="C519" t="str">
        <f>"034730"</f>
        <v>034730</v>
      </c>
      <c r="D519" t="s">
        <v>80</v>
      </c>
      <c r="E519">
        <v>139030</v>
      </c>
      <c r="F519">
        <v>0</v>
      </c>
      <c r="G519">
        <v>0</v>
      </c>
    </row>
    <row r="520" spans="1:7">
      <c r="A520" t="str">
        <f t="shared" si="37"/>
        <v>458</v>
      </c>
      <c r="B520" t="s">
        <v>512</v>
      </c>
      <c r="C520" t="str">
        <f>"023590"</f>
        <v>023590</v>
      </c>
      <c r="D520" t="s">
        <v>437</v>
      </c>
      <c r="E520">
        <v>8547</v>
      </c>
      <c r="F520">
        <v>0</v>
      </c>
      <c r="G520">
        <v>0</v>
      </c>
    </row>
    <row r="521" spans="1:7">
      <c r="A521" t="str">
        <f t="shared" si="37"/>
        <v>458</v>
      </c>
      <c r="B521" t="s">
        <v>512</v>
      </c>
      <c r="C521" t="str">
        <f>"030790"</f>
        <v>030790</v>
      </c>
      <c r="D521" t="s">
        <v>514</v>
      </c>
      <c r="E521">
        <v>192</v>
      </c>
      <c r="F521">
        <v>0</v>
      </c>
      <c r="G521">
        <v>0</v>
      </c>
    </row>
    <row r="522" spans="1:7">
      <c r="A522" t="str">
        <f t="shared" si="37"/>
        <v>458</v>
      </c>
      <c r="B522" t="s">
        <v>512</v>
      </c>
      <c r="C522" t="str">
        <f>"012030"</f>
        <v>012030</v>
      </c>
      <c r="D522" t="s">
        <v>515</v>
      </c>
      <c r="E522">
        <v>1587</v>
      </c>
      <c r="F522">
        <v>0</v>
      </c>
      <c r="G522">
        <v>0</v>
      </c>
    </row>
    <row r="523" spans="1:7">
      <c r="A523" t="str">
        <f t="shared" si="37"/>
        <v>458</v>
      </c>
      <c r="B523" t="s">
        <v>512</v>
      </c>
      <c r="C523" t="str">
        <f>"035510"</f>
        <v>035510</v>
      </c>
      <c r="D523" t="s">
        <v>516</v>
      </c>
      <c r="E523">
        <v>2339</v>
      </c>
      <c r="F523">
        <v>0</v>
      </c>
      <c r="G523">
        <v>0</v>
      </c>
    </row>
    <row r="524" spans="1:7">
      <c r="A524" t="str">
        <f t="shared" si="37"/>
        <v>458</v>
      </c>
      <c r="B524" t="s">
        <v>512</v>
      </c>
      <c r="C524" t="str">
        <f>"022100"</f>
        <v>022100</v>
      </c>
      <c r="D524" t="s">
        <v>517</v>
      </c>
      <c r="E524">
        <v>8970</v>
      </c>
      <c r="F524">
        <v>0</v>
      </c>
      <c r="G524">
        <v>0</v>
      </c>
    </row>
    <row r="525" spans="1:7">
      <c r="A525" t="str">
        <f t="shared" ref="A525:A531" si="38">"512"</f>
        <v>512</v>
      </c>
      <c r="B525" t="s">
        <v>518</v>
      </c>
      <c r="C525" t="str">
        <f>"097780"</f>
        <v>097780</v>
      </c>
      <c r="D525" t="s">
        <v>198</v>
      </c>
      <c r="E525">
        <v>811</v>
      </c>
      <c r="F525">
        <v>0</v>
      </c>
      <c r="G525">
        <v>0</v>
      </c>
    </row>
    <row r="526" spans="1:7">
      <c r="A526" t="str">
        <f t="shared" si="38"/>
        <v>512</v>
      </c>
      <c r="B526" t="s">
        <v>518</v>
      </c>
      <c r="C526" t="str">
        <f>"020760"</f>
        <v>020760</v>
      </c>
      <c r="D526" t="s">
        <v>199</v>
      </c>
      <c r="E526">
        <v>598</v>
      </c>
      <c r="F526">
        <v>0</v>
      </c>
      <c r="G526">
        <v>0</v>
      </c>
    </row>
    <row r="527" spans="1:7">
      <c r="A527" t="str">
        <f t="shared" si="38"/>
        <v>512</v>
      </c>
      <c r="B527" t="s">
        <v>518</v>
      </c>
      <c r="C527" t="str">
        <f>"096640"</f>
        <v>096640</v>
      </c>
      <c r="D527" t="s">
        <v>455</v>
      </c>
      <c r="E527">
        <v>695</v>
      </c>
      <c r="F527">
        <v>0</v>
      </c>
      <c r="G527">
        <v>0</v>
      </c>
    </row>
    <row r="528" spans="1:7">
      <c r="A528" t="str">
        <f t="shared" si="38"/>
        <v>512</v>
      </c>
      <c r="B528" t="s">
        <v>518</v>
      </c>
      <c r="C528" t="str">
        <f>"025320"</f>
        <v>025320</v>
      </c>
      <c r="D528" t="s">
        <v>519</v>
      </c>
      <c r="E528">
        <v>1927</v>
      </c>
      <c r="F528">
        <v>0</v>
      </c>
      <c r="G528">
        <v>0</v>
      </c>
    </row>
    <row r="529" spans="1:7">
      <c r="A529" t="str">
        <f t="shared" si="38"/>
        <v>512</v>
      </c>
      <c r="B529" t="s">
        <v>518</v>
      </c>
      <c r="C529" t="str">
        <f>"114120"</f>
        <v>114120</v>
      </c>
      <c r="D529" t="s">
        <v>316</v>
      </c>
      <c r="E529">
        <v>249</v>
      </c>
      <c r="F529">
        <v>0</v>
      </c>
      <c r="G529">
        <v>0</v>
      </c>
    </row>
    <row r="530" spans="1:7">
      <c r="A530" t="str">
        <f t="shared" si="38"/>
        <v>512</v>
      </c>
      <c r="B530" t="s">
        <v>518</v>
      </c>
      <c r="C530" t="str">
        <f>"051360"</f>
        <v>051360</v>
      </c>
      <c r="D530" t="s">
        <v>520</v>
      </c>
      <c r="E530">
        <v>1558</v>
      </c>
      <c r="F530">
        <v>0</v>
      </c>
      <c r="G530">
        <v>0</v>
      </c>
    </row>
    <row r="531" spans="1:7">
      <c r="A531" t="str">
        <f t="shared" si="38"/>
        <v>512</v>
      </c>
      <c r="B531" t="s">
        <v>518</v>
      </c>
      <c r="C531" t="str">
        <f>"072520"</f>
        <v>072520</v>
      </c>
      <c r="D531" t="s">
        <v>432</v>
      </c>
      <c r="E531">
        <v>814</v>
      </c>
      <c r="F531">
        <v>0</v>
      </c>
      <c r="G531">
        <v>0</v>
      </c>
    </row>
    <row r="532" spans="1:7">
      <c r="A532" t="str">
        <f>"317"</f>
        <v>317</v>
      </c>
      <c r="B532" t="s">
        <v>521</v>
      </c>
      <c r="C532" t="str">
        <f>"005740"</f>
        <v>005740</v>
      </c>
      <c r="D532" t="s">
        <v>522</v>
      </c>
      <c r="E532">
        <v>1030</v>
      </c>
      <c r="F532">
        <v>0</v>
      </c>
      <c r="G532">
        <v>0</v>
      </c>
    </row>
    <row r="533" spans="1:7">
      <c r="A533" t="str">
        <f>"317"</f>
        <v>317</v>
      </c>
      <c r="B533" t="s">
        <v>521</v>
      </c>
      <c r="C533" t="str">
        <f>"001800"</f>
        <v>001800</v>
      </c>
      <c r="D533" t="s">
        <v>523</v>
      </c>
      <c r="E533">
        <v>9522</v>
      </c>
      <c r="F533">
        <v>0</v>
      </c>
      <c r="G533">
        <v>0</v>
      </c>
    </row>
    <row r="534" spans="1:7">
      <c r="A534" t="str">
        <f>"317"</f>
        <v>317</v>
      </c>
      <c r="B534" t="s">
        <v>521</v>
      </c>
      <c r="C534" t="str">
        <f>"004990"</f>
        <v>004990</v>
      </c>
      <c r="D534" t="s">
        <v>524</v>
      </c>
      <c r="E534">
        <v>31525</v>
      </c>
      <c r="F534">
        <v>0</v>
      </c>
      <c r="G534">
        <v>0</v>
      </c>
    </row>
    <row r="535" spans="1:7">
      <c r="A535" t="str">
        <f>"317"</f>
        <v>317</v>
      </c>
      <c r="B535" t="s">
        <v>521</v>
      </c>
      <c r="C535" t="str">
        <f>"004370"</f>
        <v>004370</v>
      </c>
      <c r="D535" t="s">
        <v>525</v>
      </c>
      <c r="E535">
        <v>20499</v>
      </c>
      <c r="F535">
        <v>0</v>
      </c>
      <c r="G535">
        <v>0</v>
      </c>
    </row>
    <row r="536" spans="1:7">
      <c r="A536" t="str">
        <f>"553"</f>
        <v>553</v>
      </c>
      <c r="B536" t="s">
        <v>526</v>
      </c>
      <c r="C536" t="str">
        <f>"086390"</f>
        <v>086390</v>
      </c>
      <c r="D536" t="s">
        <v>527</v>
      </c>
      <c r="E536">
        <v>2240</v>
      </c>
      <c r="F536">
        <v>0</v>
      </c>
      <c r="G536">
        <v>0</v>
      </c>
    </row>
    <row r="537" spans="1:7">
      <c r="A537" t="str">
        <f>"553"</f>
        <v>553</v>
      </c>
      <c r="B537" t="s">
        <v>526</v>
      </c>
      <c r="C537" t="str">
        <f>"039030"</f>
        <v>039030</v>
      </c>
      <c r="D537" t="s">
        <v>234</v>
      </c>
      <c r="E537">
        <v>8279</v>
      </c>
      <c r="F537">
        <v>0</v>
      </c>
      <c r="G537">
        <v>0</v>
      </c>
    </row>
    <row r="538" spans="1:7">
      <c r="A538" t="str">
        <f>"553"</f>
        <v>553</v>
      </c>
      <c r="B538" t="s">
        <v>526</v>
      </c>
      <c r="C538" t="str">
        <f>"042700"</f>
        <v>042700</v>
      </c>
      <c r="D538" t="s">
        <v>528</v>
      </c>
      <c r="E538">
        <v>12021</v>
      </c>
      <c r="F538">
        <v>0</v>
      </c>
      <c r="G538">
        <v>0</v>
      </c>
    </row>
    <row r="539" spans="1:7">
      <c r="A539" t="str">
        <f>"553"</f>
        <v>553</v>
      </c>
      <c r="B539" t="s">
        <v>526</v>
      </c>
      <c r="C539" t="str">
        <f>"089890"</f>
        <v>089890</v>
      </c>
      <c r="D539" t="s">
        <v>529</v>
      </c>
      <c r="E539">
        <v>1635</v>
      </c>
      <c r="F539">
        <v>0</v>
      </c>
      <c r="G539">
        <v>0</v>
      </c>
    </row>
    <row r="540" spans="1:7">
      <c r="A540" t="str">
        <f>"553"</f>
        <v>553</v>
      </c>
      <c r="B540" t="s">
        <v>526</v>
      </c>
      <c r="C540" t="str">
        <f>"073570"</f>
        <v>073570</v>
      </c>
      <c r="D540" t="s">
        <v>530</v>
      </c>
      <c r="E540">
        <v>4150</v>
      </c>
      <c r="F540">
        <v>0</v>
      </c>
      <c r="G540">
        <v>0</v>
      </c>
    </row>
    <row r="541" spans="1:7">
      <c r="A541" t="str">
        <f t="shared" ref="A541:A549" si="39">"481"</f>
        <v>481</v>
      </c>
      <c r="B541" t="s">
        <v>531</v>
      </c>
      <c r="C541" t="str">
        <f>"073540"</f>
        <v>073540</v>
      </c>
      <c r="D541" t="s">
        <v>532</v>
      </c>
      <c r="E541">
        <v>347</v>
      </c>
      <c r="F541">
        <v>0</v>
      </c>
      <c r="G541">
        <v>0</v>
      </c>
    </row>
    <row r="542" spans="1:7">
      <c r="A542" t="str">
        <f t="shared" si="39"/>
        <v>481</v>
      </c>
      <c r="B542" t="s">
        <v>531</v>
      </c>
      <c r="C542" t="str">
        <f>"033790"</f>
        <v>033790</v>
      </c>
      <c r="D542" t="s">
        <v>533</v>
      </c>
      <c r="E542">
        <v>142</v>
      </c>
      <c r="F542">
        <v>0</v>
      </c>
      <c r="G542">
        <v>0</v>
      </c>
    </row>
    <row r="543" spans="1:7">
      <c r="A543" t="str">
        <f t="shared" si="39"/>
        <v>481</v>
      </c>
      <c r="B543" t="s">
        <v>531</v>
      </c>
      <c r="C543" t="str">
        <f>"093920"</f>
        <v>093920</v>
      </c>
      <c r="D543" t="s">
        <v>430</v>
      </c>
      <c r="E543">
        <v>1051</v>
      </c>
      <c r="F543">
        <v>0</v>
      </c>
      <c r="G543">
        <v>0</v>
      </c>
    </row>
    <row r="544" spans="1:7">
      <c r="A544" t="str">
        <f t="shared" si="39"/>
        <v>481</v>
      </c>
      <c r="B544" t="s">
        <v>531</v>
      </c>
      <c r="C544" t="str">
        <f>"035460"</f>
        <v>035460</v>
      </c>
      <c r="D544" t="s">
        <v>534</v>
      </c>
      <c r="E544">
        <v>430</v>
      </c>
      <c r="F544">
        <v>0</v>
      </c>
      <c r="G544">
        <v>0</v>
      </c>
    </row>
    <row r="545" spans="1:7">
      <c r="A545" t="str">
        <f t="shared" si="39"/>
        <v>481</v>
      </c>
      <c r="B545" t="s">
        <v>531</v>
      </c>
      <c r="C545" t="str">
        <f>"038950"</f>
        <v>038950</v>
      </c>
      <c r="D545" t="s">
        <v>179</v>
      </c>
      <c r="E545">
        <v>462</v>
      </c>
      <c r="F545">
        <v>0</v>
      </c>
      <c r="G545">
        <v>0</v>
      </c>
    </row>
    <row r="546" spans="1:7">
      <c r="A546" t="str">
        <f t="shared" si="39"/>
        <v>481</v>
      </c>
      <c r="B546" t="s">
        <v>531</v>
      </c>
      <c r="C546" t="str">
        <f>"032500"</f>
        <v>032500</v>
      </c>
      <c r="D546" t="s">
        <v>535</v>
      </c>
      <c r="E546">
        <v>10553</v>
      </c>
      <c r="F546">
        <v>0</v>
      </c>
      <c r="G546">
        <v>0</v>
      </c>
    </row>
    <row r="547" spans="1:7">
      <c r="A547" t="str">
        <f t="shared" si="39"/>
        <v>481</v>
      </c>
      <c r="B547" t="s">
        <v>531</v>
      </c>
      <c r="C547" t="str">
        <f>"088800"</f>
        <v>088800</v>
      </c>
      <c r="D547" t="s">
        <v>536</v>
      </c>
      <c r="E547">
        <v>2857</v>
      </c>
      <c r="F547">
        <v>0</v>
      </c>
      <c r="G547">
        <v>0</v>
      </c>
    </row>
    <row r="548" spans="1:7">
      <c r="A548" t="str">
        <f t="shared" si="39"/>
        <v>481</v>
      </c>
      <c r="B548" t="s">
        <v>531</v>
      </c>
      <c r="C548" t="str">
        <f>"031820"</f>
        <v>031820</v>
      </c>
      <c r="D548" t="s">
        <v>537</v>
      </c>
      <c r="E548">
        <v>804</v>
      </c>
      <c r="F548">
        <v>0</v>
      </c>
      <c r="G548">
        <v>0</v>
      </c>
    </row>
    <row r="549" spans="1:7">
      <c r="A549" t="str">
        <f t="shared" si="39"/>
        <v>481</v>
      </c>
      <c r="B549" t="s">
        <v>531</v>
      </c>
      <c r="C549" t="str">
        <f>"073490"</f>
        <v>073490</v>
      </c>
      <c r="D549" t="s">
        <v>538</v>
      </c>
      <c r="E549">
        <v>2193</v>
      </c>
      <c r="F549">
        <v>0</v>
      </c>
      <c r="G549">
        <v>0</v>
      </c>
    </row>
    <row r="550" spans="1:7">
      <c r="A550" t="str">
        <f t="shared" ref="A550:A555" si="40">"121"</f>
        <v>121</v>
      </c>
      <c r="B550" t="s">
        <v>539</v>
      </c>
      <c r="C550" t="str">
        <f>"054540"</f>
        <v>054540</v>
      </c>
      <c r="D550" t="s">
        <v>540</v>
      </c>
      <c r="E550">
        <v>478</v>
      </c>
      <c r="F550">
        <v>0</v>
      </c>
      <c r="G550">
        <v>0</v>
      </c>
    </row>
    <row r="551" spans="1:7">
      <c r="A551" t="str">
        <f t="shared" si="40"/>
        <v>121</v>
      </c>
      <c r="B551" t="s">
        <v>539</v>
      </c>
      <c r="C551" t="str">
        <f>"044490"</f>
        <v>044490</v>
      </c>
      <c r="D551" t="s">
        <v>541</v>
      </c>
      <c r="E551">
        <v>1927</v>
      </c>
      <c r="F551">
        <v>0</v>
      </c>
      <c r="G551">
        <v>0</v>
      </c>
    </row>
    <row r="552" spans="1:7">
      <c r="A552" t="str">
        <f t="shared" si="40"/>
        <v>121</v>
      </c>
      <c r="B552" t="s">
        <v>539</v>
      </c>
      <c r="C552" t="str">
        <f>"101170"</f>
        <v>101170</v>
      </c>
      <c r="D552" t="s">
        <v>271</v>
      </c>
      <c r="E552">
        <v>795</v>
      </c>
      <c r="F552">
        <v>0</v>
      </c>
      <c r="G552">
        <v>0</v>
      </c>
    </row>
    <row r="553" spans="1:7">
      <c r="A553" t="str">
        <f t="shared" si="40"/>
        <v>121</v>
      </c>
      <c r="B553" t="s">
        <v>539</v>
      </c>
      <c r="C553" t="str">
        <f>"018000"</f>
        <v>018000</v>
      </c>
      <c r="D553" t="s">
        <v>542</v>
      </c>
      <c r="E553">
        <v>1950</v>
      </c>
      <c r="F553">
        <v>0</v>
      </c>
      <c r="G553">
        <v>0</v>
      </c>
    </row>
    <row r="554" spans="1:7">
      <c r="A554" t="str">
        <f t="shared" si="40"/>
        <v>121</v>
      </c>
      <c r="B554" t="s">
        <v>539</v>
      </c>
      <c r="C554" t="str">
        <f>"100130"</f>
        <v>100130</v>
      </c>
      <c r="D554" t="s">
        <v>543</v>
      </c>
      <c r="E554">
        <v>2494</v>
      </c>
      <c r="F554">
        <v>0</v>
      </c>
      <c r="G554">
        <v>0</v>
      </c>
    </row>
    <row r="555" spans="1:7">
      <c r="A555" t="str">
        <f t="shared" si="40"/>
        <v>121</v>
      </c>
      <c r="B555" t="s">
        <v>539</v>
      </c>
      <c r="C555" t="str">
        <f>"089230"</f>
        <v>089230</v>
      </c>
      <c r="D555" t="s">
        <v>544</v>
      </c>
      <c r="E555">
        <v>579</v>
      </c>
      <c r="F555">
        <v>0</v>
      </c>
      <c r="G555">
        <v>0</v>
      </c>
    </row>
    <row r="556" spans="1:7">
      <c r="A556" t="str">
        <f t="shared" ref="A556:A564" si="41">"511"</f>
        <v>511</v>
      </c>
      <c r="B556" t="s">
        <v>545</v>
      </c>
      <c r="C556" t="str">
        <f>"096610"</f>
        <v>096610</v>
      </c>
      <c r="D556" t="s">
        <v>221</v>
      </c>
      <c r="E556">
        <v>266</v>
      </c>
      <c r="F556">
        <v>0</v>
      </c>
      <c r="G556">
        <v>0</v>
      </c>
    </row>
    <row r="557" spans="1:7">
      <c r="A557" t="str">
        <f t="shared" si="41"/>
        <v>511</v>
      </c>
      <c r="B557" t="s">
        <v>545</v>
      </c>
      <c r="C557" t="str">
        <f>"122990"</f>
        <v>122990</v>
      </c>
      <c r="D557" t="s">
        <v>454</v>
      </c>
      <c r="E557">
        <v>1821</v>
      </c>
      <c r="F557">
        <v>0</v>
      </c>
      <c r="G557">
        <v>0</v>
      </c>
    </row>
    <row r="558" spans="1:7">
      <c r="A558" t="str">
        <f t="shared" si="41"/>
        <v>511</v>
      </c>
      <c r="B558" t="s">
        <v>545</v>
      </c>
      <c r="C558" t="str">
        <f>"038880"</f>
        <v>038880</v>
      </c>
      <c r="D558" t="s">
        <v>156</v>
      </c>
      <c r="E558">
        <v>1839</v>
      </c>
      <c r="F558">
        <v>0</v>
      </c>
      <c r="G558">
        <v>0</v>
      </c>
    </row>
    <row r="559" spans="1:7">
      <c r="A559" t="str">
        <f t="shared" si="41"/>
        <v>511</v>
      </c>
      <c r="B559" t="s">
        <v>545</v>
      </c>
      <c r="C559" t="str">
        <f>"061040"</f>
        <v>061040</v>
      </c>
      <c r="D559" t="s">
        <v>216</v>
      </c>
      <c r="E559">
        <v>1733</v>
      </c>
      <c r="F559">
        <v>0</v>
      </c>
      <c r="G559">
        <v>0</v>
      </c>
    </row>
    <row r="560" spans="1:7">
      <c r="A560" t="str">
        <f t="shared" si="41"/>
        <v>511</v>
      </c>
      <c r="B560" t="s">
        <v>545</v>
      </c>
      <c r="C560" t="str">
        <f>"079190"</f>
        <v>079190</v>
      </c>
      <c r="D560" t="s">
        <v>546</v>
      </c>
      <c r="E560">
        <v>324</v>
      </c>
      <c r="F560">
        <v>0</v>
      </c>
      <c r="G560">
        <v>0</v>
      </c>
    </row>
    <row r="561" spans="1:7">
      <c r="A561" t="str">
        <f t="shared" si="41"/>
        <v>511</v>
      </c>
      <c r="B561" t="s">
        <v>545</v>
      </c>
      <c r="C561" t="str">
        <f>"091700"</f>
        <v>091700</v>
      </c>
      <c r="D561" t="s">
        <v>119</v>
      </c>
      <c r="E561">
        <v>4790</v>
      </c>
      <c r="F561">
        <v>0</v>
      </c>
      <c r="G561">
        <v>0</v>
      </c>
    </row>
    <row r="562" spans="1:7">
      <c r="A562" t="str">
        <f t="shared" si="41"/>
        <v>511</v>
      </c>
      <c r="B562" t="s">
        <v>545</v>
      </c>
      <c r="C562" t="str">
        <f>"080420"</f>
        <v>080420</v>
      </c>
      <c r="D562" t="s">
        <v>239</v>
      </c>
      <c r="E562">
        <v>2428</v>
      </c>
      <c r="F562">
        <v>0</v>
      </c>
      <c r="G562">
        <v>0</v>
      </c>
    </row>
    <row r="563" spans="1:7">
      <c r="A563" t="str">
        <f t="shared" si="41"/>
        <v>511</v>
      </c>
      <c r="B563" t="s">
        <v>545</v>
      </c>
      <c r="C563" t="str">
        <f>"088800"</f>
        <v>088800</v>
      </c>
      <c r="D563" t="s">
        <v>536</v>
      </c>
      <c r="E563">
        <v>2857</v>
      </c>
      <c r="F563">
        <v>0</v>
      </c>
      <c r="G563">
        <v>0</v>
      </c>
    </row>
    <row r="564" spans="1:7">
      <c r="A564" t="str">
        <f t="shared" si="41"/>
        <v>511</v>
      </c>
      <c r="B564" t="s">
        <v>545</v>
      </c>
      <c r="C564" t="str">
        <f>"036010"</f>
        <v>036010</v>
      </c>
      <c r="D564" t="s">
        <v>547</v>
      </c>
      <c r="E564">
        <v>1336</v>
      </c>
      <c r="F564">
        <v>0</v>
      </c>
      <c r="G564">
        <v>0</v>
      </c>
    </row>
    <row r="565" spans="1:7">
      <c r="A565" t="str">
        <f>"260"</f>
        <v>260</v>
      </c>
      <c r="B565" t="s">
        <v>548</v>
      </c>
      <c r="C565" t="str">
        <f>"114090"</f>
        <v>114090</v>
      </c>
      <c r="D565" t="s">
        <v>549</v>
      </c>
      <c r="E565">
        <v>11907</v>
      </c>
      <c r="F565">
        <v>0</v>
      </c>
      <c r="G565">
        <v>0</v>
      </c>
    </row>
    <row r="566" spans="1:7">
      <c r="A566" t="str">
        <f>"260"</f>
        <v>260</v>
      </c>
      <c r="B566" t="s">
        <v>548</v>
      </c>
      <c r="C566" t="str">
        <f>"035250"</f>
        <v>035250</v>
      </c>
      <c r="D566" t="s">
        <v>550</v>
      </c>
      <c r="E566">
        <v>50383</v>
      </c>
      <c r="F566">
        <v>0</v>
      </c>
      <c r="G566">
        <v>0</v>
      </c>
    </row>
    <row r="567" spans="1:7">
      <c r="A567" t="str">
        <f>"260"</f>
        <v>260</v>
      </c>
      <c r="B567" t="s">
        <v>548</v>
      </c>
      <c r="C567" t="str">
        <f>"034230"</f>
        <v>034230</v>
      </c>
      <c r="D567" t="s">
        <v>551</v>
      </c>
      <c r="E567">
        <v>16291</v>
      </c>
      <c r="F567">
        <v>0</v>
      </c>
      <c r="G567">
        <v>0</v>
      </c>
    </row>
    <row r="568" spans="1:7">
      <c r="A568" t="str">
        <f>"260"</f>
        <v>260</v>
      </c>
      <c r="B568" t="s">
        <v>548</v>
      </c>
      <c r="C568" t="str">
        <f>"052330"</f>
        <v>052330</v>
      </c>
      <c r="D568" t="s">
        <v>312</v>
      </c>
      <c r="E568">
        <v>1397</v>
      </c>
      <c r="F568">
        <v>0</v>
      </c>
      <c r="G568">
        <v>0</v>
      </c>
    </row>
    <row r="569" spans="1:7">
      <c r="A569" t="str">
        <f>"260"</f>
        <v>260</v>
      </c>
      <c r="B569" t="s">
        <v>548</v>
      </c>
      <c r="C569" t="str">
        <f>"051360"</f>
        <v>051360</v>
      </c>
      <c r="D569" t="s">
        <v>520</v>
      </c>
      <c r="E569">
        <v>1558</v>
      </c>
      <c r="F569">
        <v>0</v>
      </c>
      <c r="G569">
        <v>0</v>
      </c>
    </row>
    <row r="570" spans="1:7">
      <c r="A570" t="str">
        <f t="shared" ref="A570:A577" si="42">"310"</f>
        <v>310</v>
      </c>
      <c r="B570" t="s">
        <v>552</v>
      </c>
      <c r="C570" t="str">
        <f>"030720"</f>
        <v>030720</v>
      </c>
      <c r="D570" t="s">
        <v>553</v>
      </c>
      <c r="E570">
        <v>412</v>
      </c>
      <c r="F570">
        <v>0</v>
      </c>
      <c r="G570">
        <v>0</v>
      </c>
    </row>
    <row r="571" spans="1:7">
      <c r="A571" t="str">
        <f t="shared" si="42"/>
        <v>310</v>
      </c>
      <c r="B571" t="s">
        <v>552</v>
      </c>
      <c r="C571" t="str">
        <f>"006040"</f>
        <v>006040</v>
      </c>
      <c r="D571" t="s">
        <v>554</v>
      </c>
      <c r="E571">
        <v>24741</v>
      </c>
      <c r="F571">
        <v>0</v>
      </c>
      <c r="G571">
        <v>0</v>
      </c>
    </row>
    <row r="572" spans="1:7">
      <c r="A572" t="str">
        <f t="shared" si="42"/>
        <v>310</v>
      </c>
      <c r="B572" t="s">
        <v>552</v>
      </c>
      <c r="C572" t="str">
        <f>"007160"</f>
        <v>007160</v>
      </c>
      <c r="D572" t="s">
        <v>555</v>
      </c>
      <c r="E572">
        <v>2170</v>
      </c>
      <c r="F572">
        <v>0</v>
      </c>
      <c r="G572">
        <v>0</v>
      </c>
    </row>
    <row r="573" spans="1:7">
      <c r="A573" t="str">
        <f t="shared" si="42"/>
        <v>310</v>
      </c>
      <c r="B573" t="s">
        <v>552</v>
      </c>
      <c r="C573" t="str">
        <f>"004970"</f>
        <v>004970</v>
      </c>
      <c r="D573" t="s">
        <v>556</v>
      </c>
      <c r="E573">
        <v>1720</v>
      </c>
      <c r="F573">
        <v>0</v>
      </c>
      <c r="G573">
        <v>0</v>
      </c>
    </row>
    <row r="574" spans="1:7">
      <c r="A574" t="str">
        <f t="shared" si="42"/>
        <v>310</v>
      </c>
      <c r="B574" t="s">
        <v>552</v>
      </c>
      <c r="C574" t="str">
        <f>"003680"</f>
        <v>003680</v>
      </c>
      <c r="D574" t="s">
        <v>557</v>
      </c>
      <c r="E574">
        <v>317</v>
      </c>
      <c r="F574">
        <v>0</v>
      </c>
      <c r="G574">
        <v>0</v>
      </c>
    </row>
    <row r="575" spans="1:7">
      <c r="A575" t="str">
        <f t="shared" si="42"/>
        <v>310</v>
      </c>
      <c r="B575" t="s">
        <v>552</v>
      </c>
      <c r="C575" t="str">
        <f>"006090"</f>
        <v>006090</v>
      </c>
      <c r="D575" t="s">
        <v>558</v>
      </c>
      <c r="E575">
        <v>743</v>
      </c>
      <c r="F575">
        <v>0</v>
      </c>
      <c r="G575">
        <v>0</v>
      </c>
    </row>
    <row r="576" spans="1:7">
      <c r="A576" t="str">
        <f t="shared" si="42"/>
        <v>310</v>
      </c>
      <c r="B576" t="s">
        <v>552</v>
      </c>
      <c r="C576" t="str">
        <f>"011150"</f>
        <v>011150</v>
      </c>
      <c r="D576" t="s">
        <v>559</v>
      </c>
      <c r="E576">
        <v>1087</v>
      </c>
      <c r="F576">
        <v>0</v>
      </c>
      <c r="G576">
        <v>0</v>
      </c>
    </row>
    <row r="577" spans="1:9">
      <c r="A577" t="str">
        <f t="shared" si="42"/>
        <v>310</v>
      </c>
      <c r="B577" t="s">
        <v>552</v>
      </c>
      <c r="C577" t="str">
        <f>"003960"</f>
        <v>003960</v>
      </c>
      <c r="D577" t="s">
        <v>560</v>
      </c>
      <c r="E577">
        <v>2470</v>
      </c>
      <c r="F577">
        <v>0</v>
      </c>
      <c r="G577">
        <v>0</v>
      </c>
    </row>
    <row r="578" spans="1:9">
      <c r="A578" t="str">
        <f t="shared" ref="A578:A588" si="43">"560"</f>
        <v>560</v>
      </c>
      <c r="B578" t="s">
        <v>561</v>
      </c>
      <c r="C578" t="str">
        <f>"108230"</f>
        <v>108230</v>
      </c>
      <c r="D578" t="s">
        <v>562</v>
      </c>
      <c r="E578">
        <v>2620</v>
      </c>
      <c r="F578">
        <v>0</v>
      </c>
      <c r="G578">
        <v>0</v>
      </c>
    </row>
    <row r="579" spans="1:9">
      <c r="A579" t="str">
        <f t="shared" si="43"/>
        <v>560</v>
      </c>
      <c r="B579" t="s">
        <v>561</v>
      </c>
      <c r="C579" t="str">
        <f>"009310"</f>
        <v>009310</v>
      </c>
      <c r="D579" t="s">
        <v>563</v>
      </c>
      <c r="E579">
        <v>417</v>
      </c>
      <c r="F579">
        <v>0</v>
      </c>
      <c r="G579">
        <v>0</v>
      </c>
    </row>
    <row r="580" spans="1:9">
      <c r="A580" t="str">
        <f t="shared" si="43"/>
        <v>560</v>
      </c>
      <c r="B580" t="s">
        <v>561</v>
      </c>
      <c r="C580" t="str">
        <f>"065130"</f>
        <v>065130</v>
      </c>
      <c r="D580" t="s">
        <v>564</v>
      </c>
      <c r="E580">
        <v>815</v>
      </c>
      <c r="F580">
        <v>0</v>
      </c>
      <c r="G580">
        <v>0</v>
      </c>
    </row>
    <row r="581" spans="1:9">
      <c r="A581" t="str">
        <f t="shared" si="43"/>
        <v>560</v>
      </c>
      <c r="B581" t="s">
        <v>561</v>
      </c>
      <c r="C581" t="str">
        <f>"079950"</f>
        <v>079950</v>
      </c>
      <c r="D581" t="s">
        <v>565</v>
      </c>
      <c r="E581">
        <v>345</v>
      </c>
      <c r="F581">
        <v>0</v>
      </c>
      <c r="G581">
        <v>0</v>
      </c>
    </row>
    <row r="582" spans="1:9">
      <c r="A582" t="str">
        <f t="shared" si="43"/>
        <v>560</v>
      </c>
      <c r="B582" t="s">
        <v>561</v>
      </c>
      <c r="C582" t="str">
        <f>"036930"</f>
        <v>036930</v>
      </c>
      <c r="D582" t="s">
        <v>64</v>
      </c>
      <c r="E582">
        <v>5404</v>
      </c>
      <c r="F582">
        <v>0</v>
      </c>
      <c r="G582">
        <v>0</v>
      </c>
    </row>
    <row r="583" spans="1:9">
      <c r="A583" t="str">
        <f t="shared" si="43"/>
        <v>560</v>
      </c>
      <c r="B583" t="s">
        <v>561</v>
      </c>
      <c r="C583" t="str">
        <f>"030530"</f>
        <v>030530</v>
      </c>
      <c r="D583" t="s">
        <v>65</v>
      </c>
      <c r="E583">
        <v>2657</v>
      </c>
      <c r="F583">
        <v>0</v>
      </c>
      <c r="G583">
        <v>0</v>
      </c>
    </row>
    <row r="584" spans="1:9">
      <c r="A584" t="str">
        <f t="shared" si="43"/>
        <v>560</v>
      </c>
      <c r="B584" t="s">
        <v>561</v>
      </c>
      <c r="C584" t="str">
        <f>"029460"</f>
        <v>029460</v>
      </c>
      <c r="D584" t="s">
        <v>66</v>
      </c>
      <c r="E584">
        <v>2365</v>
      </c>
      <c r="F584">
        <v>0</v>
      </c>
      <c r="G584">
        <v>0</v>
      </c>
    </row>
    <row r="585" spans="1:9">
      <c r="A585" t="str">
        <f t="shared" si="43"/>
        <v>560</v>
      </c>
      <c r="B585" t="s">
        <v>561</v>
      </c>
      <c r="C585" t="str">
        <f>"056190"</f>
        <v>056190</v>
      </c>
      <c r="D585" t="s">
        <v>566</v>
      </c>
      <c r="E585">
        <v>12712</v>
      </c>
      <c r="F585">
        <v>0</v>
      </c>
      <c r="G585">
        <v>0</v>
      </c>
    </row>
    <row r="586" spans="1:9">
      <c r="A586" t="str">
        <f t="shared" si="43"/>
        <v>560</v>
      </c>
      <c r="B586" t="s">
        <v>561</v>
      </c>
      <c r="C586" t="str">
        <f>"083930"</f>
        <v>083930</v>
      </c>
      <c r="D586" t="s">
        <v>567</v>
      </c>
      <c r="E586">
        <v>1927</v>
      </c>
      <c r="F586">
        <v>0</v>
      </c>
      <c r="G586">
        <v>0</v>
      </c>
    </row>
    <row r="587" spans="1:9">
      <c r="A587" t="str">
        <f t="shared" si="43"/>
        <v>560</v>
      </c>
      <c r="B587" t="s">
        <v>561</v>
      </c>
      <c r="C587" t="str">
        <f>"080000"</f>
        <v>080000</v>
      </c>
      <c r="D587" t="s">
        <v>568</v>
      </c>
      <c r="E587">
        <v>946</v>
      </c>
      <c r="F587">
        <v>0</v>
      </c>
      <c r="G587">
        <v>0</v>
      </c>
    </row>
    <row r="588" spans="1:9">
      <c r="A588" t="str">
        <f t="shared" si="43"/>
        <v>560</v>
      </c>
      <c r="B588" t="s">
        <v>561</v>
      </c>
      <c r="C588" t="str">
        <f>"054620"</f>
        <v>054620</v>
      </c>
      <c r="D588" t="s">
        <v>569</v>
      </c>
      <c r="E588">
        <v>2804</v>
      </c>
      <c r="F588">
        <v>0</v>
      </c>
      <c r="G588">
        <v>0</v>
      </c>
    </row>
    <row r="589" spans="1:9" ht="66">
      <c r="A589" t="str">
        <f t="shared" ref="A589:A602" si="44">"282"</f>
        <v>282</v>
      </c>
      <c r="B589" t="s">
        <v>570</v>
      </c>
      <c r="C589" t="str">
        <f>"036420"</f>
        <v>036420</v>
      </c>
      <c r="D589" t="s">
        <v>206</v>
      </c>
      <c r="E589">
        <v>5605</v>
      </c>
      <c r="F589">
        <v>0</v>
      </c>
      <c r="G589">
        <v>0</v>
      </c>
      <c r="H589" s="1" t="s">
        <v>571</v>
      </c>
      <c r="I589" t="s">
        <v>12</v>
      </c>
    </row>
    <row r="590" spans="1:9" ht="49.5">
      <c r="A590" t="str">
        <f t="shared" si="44"/>
        <v>282</v>
      </c>
      <c r="B590" t="s">
        <v>570</v>
      </c>
      <c r="C590" t="str">
        <f>"066410"</f>
        <v>066410</v>
      </c>
      <c r="D590" t="s">
        <v>572</v>
      </c>
      <c r="E590">
        <v>1438</v>
      </c>
      <c r="F590">
        <v>0</v>
      </c>
      <c r="G590">
        <v>0</v>
      </c>
      <c r="H590" s="1" t="s">
        <v>573</v>
      </c>
      <c r="I590" t="s">
        <v>322</v>
      </c>
    </row>
    <row r="591" spans="1:9" ht="49.5">
      <c r="A591" t="str">
        <f t="shared" si="44"/>
        <v>282</v>
      </c>
      <c r="B591" t="s">
        <v>570</v>
      </c>
      <c r="C591" t="str">
        <f>"253450"</f>
        <v>253450</v>
      </c>
      <c r="D591" t="s">
        <v>574</v>
      </c>
      <c r="E591">
        <v>24287</v>
      </c>
      <c r="F591">
        <v>0</v>
      </c>
      <c r="G591">
        <v>0</v>
      </c>
      <c r="H591" s="1" t="s">
        <v>575</v>
      </c>
      <c r="I591" t="s">
        <v>322</v>
      </c>
    </row>
    <row r="592" spans="1:9" ht="33">
      <c r="A592" t="str">
        <f t="shared" si="44"/>
        <v>282</v>
      </c>
      <c r="B592" t="s">
        <v>570</v>
      </c>
      <c r="C592" t="str">
        <f>"067160"</f>
        <v>067160</v>
      </c>
      <c r="D592" t="s">
        <v>56</v>
      </c>
      <c r="E592">
        <v>8885</v>
      </c>
      <c r="F592">
        <v>0</v>
      </c>
      <c r="G592">
        <v>0</v>
      </c>
      <c r="H592" s="1" t="s">
        <v>576</v>
      </c>
      <c r="I592" t="s">
        <v>322</v>
      </c>
    </row>
    <row r="593" spans="1:9" ht="115.5">
      <c r="A593" t="str">
        <f t="shared" si="44"/>
        <v>282</v>
      </c>
      <c r="B593" t="s">
        <v>570</v>
      </c>
      <c r="C593" t="str">
        <f>"048910"</f>
        <v>048910</v>
      </c>
      <c r="D593" t="s">
        <v>366</v>
      </c>
      <c r="E593">
        <v>1937</v>
      </c>
      <c r="F593">
        <v>0</v>
      </c>
      <c r="G593">
        <v>0</v>
      </c>
      <c r="H593" s="1" t="s">
        <v>367</v>
      </c>
      <c r="I593" t="s">
        <v>322</v>
      </c>
    </row>
    <row r="594" spans="1:9" ht="66">
      <c r="A594" t="str">
        <f t="shared" si="44"/>
        <v>282</v>
      </c>
      <c r="B594" t="s">
        <v>570</v>
      </c>
      <c r="C594" t="str">
        <f>"054780"</f>
        <v>054780</v>
      </c>
      <c r="D594" t="s">
        <v>577</v>
      </c>
      <c r="E594">
        <v>1865</v>
      </c>
      <c r="F594">
        <v>0</v>
      </c>
      <c r="G594">
        <v>0</v>
      </c>
      <c r="H594" s="1" t="s">
        <v>578</v>
      </c>
      <c r="I594" t="s">
        <v>322</v>
      </c>
    </row>
    <row r="595" spans="1:9" ht="66">
      <c r="A595" t="str">
        <f t="shared" si="44"/>
        <v>282</v>
      </c>
      <c r="B595" t="s">
        <v>570</v>
      </c>
      <c r="C595" t="str">
        <f>"047820"</f>
        <v>047820</v>
      </c>
      <c r="D595" t="s">
        <v>579</v>
      </c>
      <c r="E595">
        <v>2302</v>
      </c>
      <c r="F595">
        <v>0</v>
      </c>
      <c r="G595">
        <v>0</v>
      </c>
      <c r="H595" s="1" t="s">
        <v>580</v>
      </c>
      <c r="I595" t="s">
        <v>322</v>
      </c>
    </row>
    <row r="596" spans="1:9" ht="82.5">
      <c r="A596" t="str">
        <f t="shared" si="44"/>
        <v>282</v>
      </c>
      <c r="B596" t="s">
        <v>570</v>
      </c>
      <c r="C596" t="str">
        <f>"079160"</f>
        <v>079160</v>
      </c>
      <c r="D596" t="s">
        <v>581</v>
      </c>
      <c r="E596">
        <v>8208</v>
      </c>
      <c r="F596">
        <v>0</v>
      </c>
      <c r="G596">
        <v>0</v>
      </c>
      <c r="H596" s="1" t="s">
        <v>582</v>
      </c>
      <c r="I596" t="s">
        <v>12</v>
      </c>
    </row>
    <row r="597" spans="1:9" ht="49.5">
      <c r="A597" t="str">
        <f t="shared" si="44"/>
        <v>282</v>
      </c>
      <c r="B597" t="s">
        <v>570</v>
      </c>
      <c r="C597" t="str">
        <f>"066910"</f>
        <v>066910</v>
      </c>
      <c r="D597" t="s">
        <v>369</v>
      </c>
      <c r="E597">
        <v>522</v>
      </c>
      <c r="F597">
        <v>0</v>
      </c>
      <c r="G597">
        <v>0</v>
      </c>
      <c r="H597" s="1" t="s">
        <v>370</v>
      </c>
      <c r="I597" t="s">
        <v>322</v>
      </c>
    </row>
    <row r="598" spans="1:9" ht="82.5">
      <c r="A598" t="str">
        <f t="shared" si="44"/>
        <v>282</v>
      </c>
      <c r="B598" t="s">
        <v>570</v>
      </c>
      <c r="C598" t="str">
        <f>"086980"</f>
        <v>086980</v>
      </c>
      <c r="D598" t="s">
        <v>583</v>
      </c>
      <c r="E598">
        <v>2227</v>
      </c>
      <c r="F598">
        <v>0</v>
      </c>
      <c r="G598">
        <v>0</v>
      </c>
      <c r="H598" s="1" t="s">
        <v>584</v>
      </c>
      <c r="I598" t="s">
        <v>322</v>
      </c>
    </row>
    <row r="599" spans="1:9" ht="49.5">
      <c r="A599" t="str">
        <f t="shared" si="44"/>
        <v>282</v>
      </c>
      <c r="B599" t="s">
        <v>570</v>
      </c>
      <c r="C599" t="str">
        <f>"003560"</f>
        <v>003560</v>
      </c>
      <c r="D599" t="s">
        <v>585</v>
      </c>
      <c r="E599">
        <v>852</v>
      </c>
      <c r="F599">
        <v>0</v>
      </c>
      <c r="G599">
        <v>0</v>
      </c>
      <c r="H599" s="1" t="s">
        <v>586</v>
      </c>
      <c r="I599" t="s">
        <v>12</v>
      </c>
    </row>
    <row r="600" spans="1:9" ht="82.5">
      <c r="A600" t="str">
        <f t="shared" si="44"/>
        <v>282</v>
      </c>
      <c r="B600" t="s">
        <v>570</v>
      </c>
      <c r="C600" t="str">
        <f>"068050"</f>
        <v>068050</v>
      </c>
      <c r="D600" t="s">
        <v>587</v>
      </c>
      <c r="E600">
        <v>1303</v>
      </c>
      <c r="F600">
        <v>0</v>
      </c>
      <c r="G600">
        <v>0</v>
      </c>
      <c r="H600" s="1" t="s">
        <v>588</v>
      </c>
      <c r="I600" t="s">
        <v>322</v>
      </c>
    </row>
    <row r="601" spans="1:9" ht="66">
      <c r="A601" t="str">
        <f t="shared" si="44"/>
        <v>282</v>
      </c>
      <c r="B601" t="s">
        <v>570</v>
      </c>
      <c r="C601" t="str">
        <f>"046390"</f>
        <v>046390</v>
      </c>
      <c r="D601" t="s">
        <v>589</v>
      </c>
      <c r="E601">
        <v>1515</v>
      </c>
      <c r="F601">
        <v>0</v>
      </c>
      <c r="G601">
        <v>0</v>
      </c>
      <c r="H601" s="1" t="s">
        <v>590</v>
      </c>
      <c r="I601" t="s">
        <v>322</v>
      </c>
    </row>
    <row r="602" spans="1:9" ht="99">
      <c r="A602" t="str">
        <f t="shared" si="44"/>
        <v>282</v>
      </c>
      <c r="B602" t="s">
        <v>570</v>
      </c>
      <c r="C602" t="str">
        <f>"048550"</f>
        <v>048550</v>
      </c>
      <c r="D602" t="s">
        <v>591</v>
      </c>
      <c r="E602">
        <v>3041</v>
      </c>
      <c r="F602">
        <v>0</v>
      </c>
      <c r="G602">
        <v>0</v>
      </c>
      <c r="H602" s="1" t="s">
        <v>592</v>
      </c>
      <c r="I602" t="s">
        <v>322</v>
      </c>
    </row>
    <row r="603" spans="1:9">
      <c r="A603" t="str">
        <f t="shared" ref="A603:A616" si="45">"910"</f>
        <v>910</v>
      </c>
      <c r="B603" t="s">
        <v>593</v>
      </c>
      <c r="C603" t="str">
        <f>"084870"</f>
        <v>084870</v>
      </c>
      <c r="D603" t="s">
        <v>594</v>
      </c>
      <c r="E603">
        <v>356</v>
      </c>
      <c r="F603">
        <v>0</v>
      </c>
      <c r="G603">
        <v>0</v>
      </c>
    </row>
    <row r="604" spans="1:9">
      <c r="A604" t="str">
        <f t="shared" si="45"/>
        <v>910</v>
      </c>
      <c r="B604" t="s">
        <v>593</v>
      </c>
      <c r="C604" t="str">
        <f>"090430"</f>
        <v>090430</v>
      </c>
      <c r="D604" t="s">
        <v>243</v>
      </c>
      <c r="E604">
        <v>80428</v>
      </c>
      <c r="F604">
        <v>0</v>
      </c>
      <c r="G604">
        <v>0</v>
      </c>
    </row>
    <row r="605" spans="1:9">
      <c r="A605" t="str">
        <f t="shared" si="45"/>
        <v>910</v>
      </c>
      <c r="B605" t="s">
        <v>593</v>
      </c>
      <c r="C605" t="str">
        <f>"021240"</f>
        <v>021240</v>
      </c>
      <c r="D605" t="s">
        <v>245</v>
      </c>
      <c r="E605">
        <v>40516</v>
      </c>
      <c r="F605">
        <v>0</v>
      </c>
      <c r="G605">
        <v>0</v>
      </c>
    </row>
    <row r="606" spans="1:9">
      <c r="A606" t="str">
        <f t="shared" si="45"/>
        <v>910</v>
      </c>
      <c r="B606" t="s">
        <v>593</v>
      </c>
      <c r="C606" t="str">
        <f>"123330"</f>
        <v>123330</v>
      </c>
      <c r="D606" t="s">
        <v>246</v>
      </c>
      <c r="E606">
        <v>316</v>
      </c>
      <c r="F606">
        <v>0</v>
      </c>
      <c r="G606">
        <v>0</v>
      </c>
    </row>
    <row r="607" spans="1:9">
      <c r="A607" t="str">
        <f t="shared" si="45"/>
        <v>910</v>
      </c>
      <c r="B607" t="s">
        <v>593</v>
      </c>
      <c r="C607" t="str">
        <f>"044820"</f>
        <v>044820</v>
      </c>
      <c r="D607" t="s">
        <v>247</v>
      </c>
      <c r="E607">
        <v>838</v>
      </c>
      <c r="F607">
        <v>0</v>
      </c>
      <c r="G607">
        <v>0</v>
      </c>
    </row>
    <row r="608" spans="1:9">
      <c r="A608" t="str">
        <f t="shared" si="45"/>
        <v>910</v>
      </c>
      <c r="B608" t="s">
        <v>593</v>
      </c>
      <c r="C608" t="str">
        <f>"078520"</f>
        <v>078520</v>
      </c>
      <c r="D608" t="s">
        <v>248</v>
      </c>
      <c r="E608">
        <v>1498</v>
      </c>
      <c r="F608">
        <v>0</v>
      </c>
      <c r="G608">
        <v>0</v>
      </c>
    </row>
    <row r="609" spans="1:9">
      <c r="A609" t="str">
        <f t="shared" si="45"/>
        <v>910</v>
      </c>
      <c r="B609" t="s">
        <v>593</v>
      </c>
      <c r="C609" t="str">
        <f>"001800"</f>
        <v>001800</v>
      </c>
      <c r="D609" t="s">
        <v>523</v>
      </c>
      <c r="E609">
        <v>9522</v>
      </c>
      <c r="F609">
        <v>0</v>
      </c>
      <c r="G609">
        <v>0</v>
      </c>
    </row>
    <row r="610" spans="1:9">
      <c r="A610" t="str">
        <f t="shared" si="45"/>
        <v>910</v>
      </c>
      <c r="B610" t="s">
        <v>593</v>
      </c>
      <c r="C610" t="str">
        <f>"115390"</f>
        <v>115390</v>
      </c>
      <c r="D610" t="s">
        <v>595</v>
      </c>
      <c r="E610">
        <v>3153</v>
      </c>
      <c r="F610">
        <v>0</v>
      </c>
      <c r="G610">
        <v>0</v>
      </c>
    </row>
    <row r="611" spans="1:9">
      <c r="A611" t="str">
        <f t="shared" si="45"/>
        <v>910</v>
      </c>
      <c r="B611" t="s">
        <v>593</v>
      </c>
      <c r="C611" t="str">
        <f>"014470"</f>
        <v>014470</v>
      </c>
      <c r="D611" t="s">
        <v>596</v>
      </c>
      <c r="E611">
        <v>1264</v>
      </c>
      <c r="F611">
        <v>0</v>
      </c>
      <c r="G611">
        <v>0</v>
      </c>
    </row>
    <row r="612" spans="1:9">
      <c r="A612" t="str">
        <f t="shared" si="45"/>
        <v>910</v>
      </c>
      <c r="B612" t="s">
        <v>593</v>
      </c>
      <c r="C612" t="str">
        <f>"161890"</f>
        <v>161890</v>
      </c>
      <c r="D612" t="s">
        <v>250</v>
      </c>
      <c r="E612">
        <v>9473</v>
      </c>
      <c r="F612">
        <v>0</v>
      </c>
      <c r="G612">
        <v>0</v>
      </c>
    </row>
    <row r="613" spans="1:9">
      <c r="A613" t="str">
        <f t="shared" si="45"/>
        <v>910</v>
      </c>
      <c r="B613" t="s">
        <v>593</v>
      </c>
      <c r="C613" t="str">
        <f>"090370"</f>
        <v>090370</v>
      </c>
      <c r="D613" t="s">
        <v>597</v>
      </c>
      <c r="E613">
        <v>616</v>
      </c>
      <c r="F613">
        <v>0</v>
      </c>
      <c r="G613">
        <v>0</v>
      </c>
    </row>
    <row r="614" spans="1:9">
      <c r="A614" t="str">
        <f t="shared" si="45"/>
        <v>910</v>
      </c>
      <c r="B614" t="s">
        <v>593</v>
      </c>
      <c r="C614" t="str">
        <f>"065510"</f>
        <v>065510</v>
      </c>
      <c r="D614" t="s">
        <v>598</v>
      </c>
      <c r="E614">
        <v>1195</v>
      </c>
      <c r="F614">
        <v>0</v>
      </c>
      <c r="G614">
        <v>0</v>
      </c>
    </row>
    <row r="615" spans="1:9" ht="82.5">
      <c r="A615" t="str">
        <f t="shared" si="45"/>
        <v>910</v>
      </c>
      <c r="B615" t="s">
        <v>593</v>
      </c>
      <c r="C615" t="str">
        <f>"048260"</f>
        <v>048260</v>
      </c>
      <c r="D615" t="s">
        <v>599</v>
      </c>
      <c r="E615">
        <v>20120</v>
      </c>
      <c r="F615">
        <v>0</v>
      </c>
      <c r="G615">
        <v>0</v>
      </c>
      <c r="H615" s="1" t="s">
        <v>600</v>
      </c>
      <c r="I615" t="s">
        <v>322</v>
      </c>
    </row>
    <row r="616" spans="1:9">
      <c r="A616" t="str">
        <f t="shared" si="45"/>
        <v>910</v>
      </c>
      <c r="B616" t="s">
        <v>593</v>
      </c>
      <c r="C616" t="str">
        <f>"097950"</f>
        <v>097950</v>
      </c>
      <c r="D616" t="s">
        <v>601</v>
      </c>
      <c r="E616">
        <v>50883</v>
      </c>
      <c r="F616">
        <v>0</v>
      </c>
      <c r="G616">
        <v>0</v>
      </c>
    </row>
    <row r="617" spans="1:9">
      <c r="A617" t="str">
        <f>"172"</f>
        <v>172</v>
      </c>
      <c r="B617" t="s">
        <v>602</v>
      </c>
      <c r="C617" t="str">
        <f>"004890"</f>
        <v>004890</v>
      </c>
      <c r="D617" t="s">
        <v>603</v>
      </c>
      <c r="E617">
        <v>4705</v>
      </c>
      <c r="F617">
        <v>0</v>
      </c>
      <c r="G617">
        <v>0</v>
      </c>
    </row>
    <row r="618" spans="1:9">
      <c r="A618" t="str">
        <f>"172"</f>
        <v>172</v>
      </c>
      <c r="B618" t="s">
        <v>602</v>
      </c>
      <c r="C618" t="str">
        <f>"015890"</f>
        <v>015890</v>
      </c>
      <c r="D618" t="s">
        <v>604</v>
      </c>
      <c r="E618">
        <v>1844</v>
      </c>
      <c r="F618">
        <v>0</v>
      </c>
      <c r="G618">
        <v>0</v>
      </c>
    </row>
    <row r="619" spans="1:9">
      <c r="A619" t="str">
        <f>"360"</f>
        <v>360</v>
      </c>
      <c r="B619" t="s">
        <v>605</v>
      </c>
      <c r="C619" t="str">
        <f>"068270"</f>
        <v>068270</v>
      </c>
      <c r="D619" t="s">
        <v>606</v>
      </c>
      <c r="E619">
        <v>229512</v>
      </c>
      <c r="F619">
        <v>0</v>
      </c>
      <c r="G619">
        <v>0</v>
      </c>
    </row>
    <row r="620" spans="1:9">
      <c r="A620" t="str">
        <f>"360"</f>
        <v>360</v>
      </c>
      <c r="B620" t="s">
        <v>605</v>
      </c>
      <c r="C620" t="str">
        <f>"086890"</f>
        <v>086890</v>
      </c>
      <c r="D620" t="s">
        <v>607</v>
      </c>
      <c r="E620">
        <v>1925</v>
      </c>
      <c r="F620">
        <v>0</v>
      </c>
      <c r="G620">
        <v>0</v>
      </c>
    </row>
    <row r="621" spans="1:9">
      <c r="A621" t="str">
        <f>"360"</f>
        <v>360</v>
      </c>
      <c r="B621" t="s">
        <v>605</v>
      </c>
      <c r="C621" t="str">
        <f>"003060"</f>
        <v>003060</v>
      </c>
      <c r="D621" t="s">
        <v>608</v>
      </c>
      <c r="E621">
        <v>2730</v>
      </c>
      <c r="F621">
        <v>0</v>
      </c>
      <c r="G621">
        <v>0</v>
      </c>
    </row>
    <row r="622" spans="1:9">
      <c r="A622" t="str">
        <f>"360"</f>
        <v>360</v>
      </c>
      <c r="B622" t="s">
        <v>605</v>
      </c>
      <c r="C622" t="str">
        <f>"086900"</f>
        <v>086900</v>
      </c>
      <c r="D622" t="s">
        <v>313</v>
      </c>
      <c r="E622">
        <v>8348</v>
      </c>
      <c r="F622">
        <v>0</v>
      </c>
      <c r="G622">
        <v>0</v>
      </c>
    </row>
    <row r="623" spans="1:9">
      <c r="A623" t="str">
        <f>"360"</f>
        <v>360</v>
      </c>
      <c r="B623" t="s">
        <v>605</v>
      </c>
      <c r="C623" t="str">
        <f>"128940"</f>
        <v>128940</v>
      </c>
      <c r="D623" t="s">
        <v>609</v>
      </c>
      <c r="E623">
        <v>32951</v>
      </c>
      <c r="F623">
        <v>0</v>
      </c>
      <c r="G623">
        <v>0</v>
      </c>
    </row>
    <row r="624" spans="1:9">
      <c r="A624" t="str">
        <f>"261"</f>
        <v>261</v>
      </c>
      <c r="B624" t="s">
        <v>610</v>
      </c>
      <c r="C624" t="str">
        <f>"094850"</f>
        <v>094850</v>
      </c>
      <c r="D624" t="s">
        <v>611</v>
      </c>
      <c r="E624">
        <v>1526</v>
      </c>
      <c r="F624">
        <v>0</v>
      </c>
      <c r="G624">
        <v>0</v>
      </c>
    </row>
    <row r="625" spans="1:9">
      <c r="A625" t="str">
        <f>"261"</f>
        <v>261</v>
      </c>
      <c r="B625" t="s">
        <v>610</v>
      </c>
      <c r="C625" t="str">
        <f>"039130"</f>
        <v>039130</v>
      </c>
      <c r="D625" t="s">
        <v>612</v>
      </c>
      <c r="E625">
        <v>9543</v>
      </c>
      <c r="F625">
        <v>0</v>
      </c>
      <c r="G625">
        <v>0</v>
      </c>
    </row>
    <row r="626" spans="1:9">
      <c r="A626" t="str">
        <f>"261"</f>
        <v>261</v>
      </c>
      <c r="B626" t="s">
        <v>610</v>
      </c>
      <c r="C626" t="str">
        <f>"039310"</f>
        <v>039310</v>
      </c>
      <c r="D626" t="s">
        <v>613</v>
      </c>
      <c r="E626">
        <v>466</v>
      </c>
      <c r="F626">
        <v>0</v>
      </c>
      <c r="G626">
        <v>0</v>
      </c>
    </row>
    <row r="627" spans="1:9">
      <c r="A627" t="str">
        <f>"261"</f>
        <v>261</v>
      </c>
      <c r="B627" t="s">
        <v>610</v>
      </c>
      <c r="C627" t="str">
        <f>"080160"</f>
        <v>080160</v>
      </c>
      <c r="D627" t="s">
        <v>614</v>
      </c>
      <c r="E627">
        <v>3430</v>
      </c>
      <c r="F627">
        <v>0</v>
      </c>
      <c r="G627">
        <v>0</v>
      </c>
    </row>
    <row r="628" spans="1:9">
      <c r="A628" t="str">
        <f>"261"</f>
        <v>261</v>
      </c>
      <c r="B628" t="s">
        <v>610</v>
      </c>
      <c r="C628" t="str">
        <f>"038390"</f>
        <v>038390</v>
      </c>
      <c r="D628" t="s">
        <v>615</v>
      </c>
      <c r="E628">
        <v>1572</v>
      </c>
      <c r="F628">
        <v>0</v>
      </c>
      <c r="G628">
        <v>0</v>
      </c>
    </row>
    <row r="629" spans="1:9">
      <c r="A629" t="str">
        <f>"311"</f>
        <v>311</v>
      </c>
      <c r="B629" t="s">
        <v>616</v>
      </c>
      <c r="C629" t="str">
        <f>"027740"</f>
        <v>027740</v>
      </c>
      <c r="D629" t="s">
        <v>617</v>
      </c>
      <c r="E629">
        <v>762</v>
      </c>
      <c r="F629">
        <v>0</v>
      </c>
      <c r="G629">
        <v>0</v>
      </c>
    </row>
    <row r="630" spans="1:9">
      <c r="A630" t="str">
        <f>"311"</f>
        <v>311</v>
      </c>
      <c r="B630" t="s">
        <v>616</v>
      </c>
      <c r="C630" t="str">
        <f>"136480"</f>
        <v>136480</v>
      </c>
      <c r="D630" t="s">
        <v>618</v>
      </c>
      <c r="E630">
        <v>2878</v>
      </c>
      <c r="F630">
        <v>0</v>
      </c>
      <c r="G630">
        <v>0</v>
      </c>
    </row>
    <row r="631" spans="1:9">
      <c r="A631" t="str">
        <f>"311"</f>
        <v>311</v>
      </c>
      <c r="B631" t="s">
        <v>616</v>
      </c>
      <c r="C631" t="str">
        <f>"088910"</f>
        <v>088910</v>
      </c>
      <c r="D631" t="s">
        <v>619</v>
      </c>
      <c r="E631">
        <v>672</v>
      </c>
      <c r="F631">
        <v>0</v>
      </c>
      <c r="G631">
        <v>0</v>
      </c>
    </row>
    <row r="632" spans="1:9">
      <c r="A632" t="str">
        <f>"103"</f>
        <v>103</v>
      </c>
      <c r="B632" t="s">
        <v>620</v>
      </c>
      <c r="C632" t="str">
        <f>"099220"</f>
        <v>099220</v>
      </c>
      <c r="D632" t="s">
        <v>621</v>
      </c>
      <c r="E632">
        <v>983</v>
      </c>
      <c r="F632">
        <v>0</v>
      </c>
      <c r="G632">
        <v>0</v>
      </c>
    </row>
    <row r="633" spans="1:9">
      <c r="A633" t="str">
        <f>"103"</f>
        <v>103</v>
      </c>
      <c r="B633" t="s">
        <v>620</v>
      </c>
      <c r="C633" t="str">
        <f>"095910"</f>
        <v>095910</v>
      </c>
      <c r="D633" t="s">
        <v>622</v>
      </c>
      <c r="E633">
        <v>585</v>
      </c>
      <c r="F633">
        <v>0</v>
      </c>
      <c r="G633">
        <v>0</v>
      </c>
    </row>
    <row r="634" spans="1:9" ht="148.5">
      <c r="A634" t="str">
        <f>"103"</f>
        <v>103</v>
      </c>
      <c r="B634" t="s">
        <v>620</v>
      </c>
      <c r="C634" t="str">
        <f>"009830"</f>
        <v>009830</v>
      </c>
      <c r="D634" t="s">
        <v>623</v>
      </c>
      <c r="E634">
        <v>90857</v>
      </c>
      <c r="F634">
        <v>0</v>
      </c>
      <c r="G634">
        <v>0</v>
      </c>
      <c r="H634" s="1" t="s">
        <v>624</v>
      </c>
      <c r="I634" t="s">
        <v>12</v>
      </c>
    </row>
    <row r="635" spans="1:9">
      <c r="A635" t="str">
        <f t="shared" ref="A635:A644" si="46">"241"</f>
        <v>241</v>
      </c>
      <c r="B635" t="s">
        <v>625</v>
      </c>
      <c r="C635" t="str">
        <f>"012860"</f>
        <v>012860</v>
      </c>
      <c r="D635" t="s">
        <v>626</v>
      </c>
      <c r="E635">
        <v>926</v>
      </c>
      <c r="F635">
        <v>0</v>
      </c>
      <c r="G635">
        <v>0</v>
      </c>
    </row>
    <row r="636" spans="1:9">
      <c r="A636" t="str">
        <f t="shared" si="46"/>
        <v>241</v>
      </c>
      <c r="B636" t="s">
        <v>625</v>
      </c>
      <c r="C636" t="str">
        <f>"012330"</f>
        <v>012330</v>
      </c>
      <c r="D636" t="s">
        <v>422</v>
      </c>
      <c r="E636">
        <v>195170</v>
      </c>
      <c r="F636">
        <v>0</v>
      </c>
      <c r="G636">
        <v>0</v>
      </c>
    </row>
    <row r="637" spans="1:9">
      <c r="A637" t="str">
        <f t="shared" si="46"/>
        <v>241</v>
      </c>
      <c r="B637" t="s">
        <v>625</v>
      </c>
      <c r="C637" t="str">
        <f>"064960"</f>
        <v>064960</v>
      </c>
      <c r="D637" t="s">
        <v>627</v>
      </c>
      <c r="E637">
        <v>6032</v>
      </c>
      <c r="F637">
        <v>0</v>
      </c>
      <c r="G637">
        <v>0</v>
      </c>
    </row>
    <row r="638" spans="1:9">
      <c r="A638" t="str">
        <f t="shared" si="46"/>
        <v>241</v>
      </c>
      <c r="B638" t="s">
        <v>625</v>
      </c>
      <c r="C638" t="str">
        <f>"084730"</f>
        <v>084730</v>
      </c>
      <c r="D638" t="s">
        <v>178</v>
      </c>
      <c r="E638">
        <v>1366</v>
      </c>
      <c r="F638">
        <v>0</v>
      </c>
      <c r="G638">
        <v>0</v>
      </c>
    </row>
    <row r="639" spans="1:9">
      <c r="A639" t="str">
        <f t="shared" si="46"/>
        <v>241</v>
      </c>
      <c r="B639" t="s">
        <v>625</v>
      </c>
      <c r="C639" t="str">
        <f>"089850"</f>
        <v>089850</v>
      </c>
      <c r="D639" t="s">
        <v>79</v>
      </c>
      <c r="E639">
        <v>815</v>
      </c>
      <c r="F639">
        <v>0</v>
      </c>
      <c r="G639">
        <v>0</v>
      </c>
    </row>
    <row r="640" spans="1:9">
      <c r="A640" t="str">
        <f t="shared" si="46"/>
        <v>241</v>
      </c>
      <c r="B640" t="s">
        <v>625</v>
      </c>
      <c r="C640" t="str">
        <f>"060980"</f>
        <v>060980</v>
      </c>
      <c r="D640" t="s">
        <v>423</v>
      </c>
      <c r="E640">
        <v>3115</v>
      </c>
      <c r="F640">
        <v>0</v>
      </c>
      <c r="G640">
        <v>0</v>
      </c>
    </row>
    <row r="641" spans="1:7">
      <c r="A641" t="str">
        <f t="shared" si="46"/>
        <v>241</v>
      </c>
      <c r="B641" t="s">
        <v>625</v>
      </c>
      <c r="C641" t="str">
        <f>"043370"</f>
        <v>043370</v>
      </c>
      <c r="D641" t="s">
        <v>628</v>
      </c>
      <c r="E641">
        <v>1468</v>
      </c>
      <c r="F641">
        <v>0</v>
      </c>
      <c r="G641">
        <v>0</v>
      </c>
    </row>
    <row r="642" spans="1:7">
      <c r="A642" t="str">
        <f t="shared" si="46"/>
        <v>241</v>
      </c>
      <c r="B642" t="s">
        <v>625</v>
      </c>
      <c r="C642" t="str">
        <f>"005850"</f>
        <v>005850</v>
      </c>
      <c r="D642" t="s">
        <v>629</v>
      </c>
      <c r="E642">
        <v>10776</v>
      </c>
      <c r="F642">
        <v>0</v>
      </c>
      <c r="G642">
        <v>0</v>
      </c>
    </row>
    <row r="643" spans="1:7">
      <c r="A643" t="str">
        <f t="shared" si="46"/>
        <v>241</v>
      </c>
      <c r="B643" t="s">
        <v>625</v>
      </c>
      <c r="C643" t="str">
        <f>"054450"</f>
        <v>054450</v>
      </c>
      <c r="D643" t="s">
        <v>416</v>
      </c>
      <c r="E643">
        <v>1593</v>
      </c>
      <c r="F643">
        <v>0</v>
      </c>
      <c r="G643">
        <v>0</v>
      </c>
    </row>
    <row r="644" spans="1:7">
      <c r="A644" t="str">
        <f t="shared" si="46"/>
        <v>241</v>
      </c>
      <c r="B644" t="s">
        <v>625</v>
      </c>
      <c r="C644" t="str">
        <f>"086960"</f>
        <v>086960</v>
      </c>
      <c r="D644" t="s">
        <v>630</v>
      </c>
      <c r="E644">
        <v>1592</v>
      </c>
      <c r="F644">
        <v>0</v>
      </c>
      <c r="G644">
        <v>0</v>
      </c>
    </row>
    <row r="645" spans="1:7">
      <c r="A645" t="str">
        <f>"453"</f>
        <v>453</v>
      </c>
      <c r="B645" t="s">
        <v>631</v>
      </c>
      <c r="C645" t="str">
        <f>"053350"</f>
        <v>053350</v>
      </c>
      <c r="D645" t="s">
        <v>632</v>
      </c>
      <c r="E645">
        <v>710</v>
      </c>
      <c r="F645">
        <v>0</v>
      </c>
      <c r="G645">
        <v>0</v>
      </c>
    </row>
    <row r="646" spans="1:7">
      <c r="A646" t="str">
        <f>"453"</f>
        <v>453</v>
      </c>
      <c r="B646" t="s">
        <v>631</v>
      </c>
      <c r="C646" t="str">
        <f>"053800"</f>
        <v>053800</v>
      </c>
      <c r="D646" t="s">
        <v>633</v>
      </c>
      <c r="E646">
        <v>6579</v>
      </c>
      <c r="F646">
        <v>0</v>
      </c>
      <c r="G646">
        <v>0</v>
      </c>
    </row>
    <row r="647" spans="1:7">
      <c r="A647" t="str">
        <f>"453"</f>
        <v>453</v>
      </c>
      <c r="B647" t="s">
        <v>631</v>
      </c>
      <c r="C647" t="str">
        <f>"047560"</f>
        <v>047560</v>
      </c>
      <c r="D647" t="s">
        <v>506</v>
      </c>
      <c r="E647">
        <v>992</v>
      </c>
      <c r="F647">
        <v>0</v>
      </c>
      <c r="G647">
        <v>0</v>
      </c>
    </row>
    <row r="648" spans="1:7">
      <c r="A648" t="str">
        <f>"453"</f>
        <v>453</v>
      </c>
      <c r="B648" t="s">
        <v>631</v>
      </c>
      <c r="C648" t="str">
        <f>"136540"</f>
        <v>136540</v>
      </c>
      <c r="D648" t="s">
        <v>634</v>
      </c>
      <c r="E648">
        <v>1678</v>
      </c>
      <c r="F648">
        <v>0</v>
      </c>
      <c r="G648">
        <v>0</v>
      </c>
    </row>
    <row r="649" spans="1:7">
      <c r="A649" t="str">
        <f t="shared" ref="A649:A661" si="47">"500"</f>
        <v>500</v>
      </c>
      <c r="B649" t="s">
        <v>635</v>
      </c>
      <c r="C649" t="str">
        <f>"015260"</f>
        <v>015260</v>
      </c>
      <c r="D649" t="s">
        <v>636</v>
      </c>
      <c r="E649">
        <v>659</v>
      </c>
      <c r="F649">
        <v>0</v>
      </c>
      <c r="G649">
        <v>0</v>
      </c>
    </row>
    <row r="650" spans="1:7">
      <c r="A650" t="str">
        <f t="shared" si="47"/>
        <v>500</v>
      </c>
      <c r="B650" t="s">
        <v>635</v>
      </c>
      <c r="C650" t="str">
        <f>"009150"</f>
        <v>009150</v>
      </c>
      <c r="D650" t="s">
        <v>451</v>
      </c>
      <c r="E650">
        <v>108306</v>
      </c>
      <c r="F650">
        <v>0</v>
      </c>
      <c r="G650">
        <v>0</v>
      </c>
    </row>
    <row r="651" spans="1:7">
      <c r="A651" t="str">
        <f t="shared" si="47"/>
        <v>500</v>
      </c>
      <c r="B651" t="s">
        <v>635</v>
      </c>
      <c r="C651" t="str">
        <f>"066900"</f>
        <v>066900</v>
      </c>
      <c r="D651" t="s">
        <v>637</v>
      </c>
      <c r="E651">
        <v>619</v>
      </c>
      <c r="F651">
        <v>0</v>
      </c>
      <c r="G651">
        <v>0</v>
      </c>
    </row>
    <row r="652" spans="1:7">
      <c r="A652" t="str">
        <f t="shared" si="47"/>
        <v>500</v>
      </c>
      <c r="B652" t="s">
        <v>635</v>
      </c>
      <c r="C652" t="str">
        <f>"008060"</f>
        <v>008060</v>
      </c>
      <c r="D652" t="s">
        <v>127</v>
      </c>
      <c r="E652">
        <v>2091</v>
      </c>
      <c r="F652">
        <v>0</v>
      </c>
      <c r="G652">
        <v>0</v>
      </c>
    </row>
    <row r="653" spans="1:7">
      <c r="A653" t="str">
        <f t="shared" si="47"/>
        <v>500</v>
      </c>
      <c r="B653" t="s">
        <v>635</v>
      </c>
      <c r="C653" t="str">
        <f>"011070"</f>
        <v>011070</v>
      </c>
      <c r="D653" t="s">
        <v>363</v>
      </c>
      <c r="E653">
        <v>62481</v>
      </c>
      <c r="F653">
        <v>0</v>
      </c>
      <c r="G653">
        <v>0</v>
      </c>
    </row>
    <row r="654" spans="1:7">
      <c r="A654" t="str">
        <f t="shared" si="47"/>
        <v>500</v>
      </c>
      <c r="B654" t="s">
        <v>635</v>
      </c>
      <c r="C654" t="str">
        <f>"036710"</f>
        <v>036710</v>
      </c>
      <c r="D654" t="s">
        <v>129</v>
      </c>
      <c r="E654">
        <v>1419</v>
      </c>
      <c r="F654">
        <v>0</v>
      </c>
      <c r="G654">
        <v>0</v>
      </c>
    </row>
    <row r="655" spans="1:7">
      <c r="A655" t="str">
        <f t="shared" si="47"/>
        <v>500</v>
      </c>
      <c r="B655" t="s">
        <v>635</v>
      </c>
      <c r="C655" t="str">
        <f>"092300"</f>
        <v>092300</v>
      </c>
      <c r="D655" t="s">
        <v>638</v>
      </c>
      <c r="E655">
        <v>821</v>
      </c>
      <c r="F655">
        <v>0</v>
      </c>
      <c r="G655">
        <v>0</v>
      </c>
    </row>
    <row r="656" spans="1:7">
      <c r="A656" t="str">
        <f t="shared" si="47"/>
        <v>500</v>
      </c>
      <c r="B656" t="s">
        <v>635</v>
      </c>
      <c r="C656" t="str">
        <f>"051370"</f>
        <v>051370</v>
      </c>
      <c r="D656" t="s">
        <v>202</v>
      </c>
      <c r="E656">
        <v>2155</v>
      </c>
      <c r="F656">
        <v>0</v>
      </c>
      <c r="G656">
        <v>0</v>
      </c>
    </row>
    <row r="657" spans="1:7">
      <c r="A657" t="str">
        <f t="shared" si="47"/>
        <v>500</v>
      </c>
      <c r="B657" t="s">
        <v>635</v>
      </c>
      <c r="C657" t="str">
        <f>"088390"</f>
        <v>088390</v>
      </c>
      <c r="D657" t="s">
        <v>237</v>
      </c>
      <c r="E657">
        <v>2131</v>
      </c>
      <c r="F657">
        <v>0</v>
      </c>
      <c r="G657">
        <v>0</v>
      </c>
    </row>
    <row r="658" spans="1:7">
      <c r="A658" t="str">
        <f t="shared" si="47"/>
        <v>500</v>
      </c>
      <c r="B658" t="s">
        <v>635</v>
      </c>
      <c r="C658" t="str">
        <f>"007810"</f>
        <v>007810</v>
      </c>
      <c r="D658" t="s">
        <v>130</v>
      </c>
      <c r="E658">
        <v>3083</v>
      </c>
      <c r="F658">
        <v>0</v>
      </c>
      <c r="G658">
        <v>0</v>
      </c>
    </row>
    <row r="659" spans="1:7">
      <c r="A659" t="str">
        <f t="shared" si="47"/>
        <v>500</v>
      </c>
      <c r="B659" t="s">
        <v>635</v>
      </c>
      <c r="C659" t="str">
        <f>"007660"</f>
        <v>007660</v>
      </c>
      <c r="D659" t="s">
        <v>639</v>
      </c>
      <c r="E659">
        <v>3637</v>
      </c>
      <c r="F659">
        <v>0</v>
      </c>
      <c r="G659">
        <v>0</v>
      </c>
    </row>
    <row r="660" spans="1:7">
      <c r="A660" t="str">
        <f t="shared" si="47"/>
        <v>500</v>
      </c>
      <c r="B660" t="s">
        <v>635</v>
      </c>
      <c r="C660" t="str">
        <f>"090460"</f>
        <v>090460</v>
      </c>
      <c r="D660" t="s">
        <v>457</v>
      </c>
      <c r="E660">
        <v>7203</v>
      </c>
      <c r="F660">
        <v>0</v>
      </c>
      <c r="G660">
        <v>0</v>
      </c>
    </row>
    <row r="661" spans="1:7">
      <c r="A661" t="str">
        <f t="shared" si="47"/>
        <v>500</v>
      </c>
      <c r="B661" t="s">
        <v>635</v>
      </c>
      <c r="C661" t="str">
        <f>"085670"</f>
        <v>085670</v>
      </c>
      <c r="D661" t="s">
        <v>640</v>
      </c>
      <c r="E661">
        <v>1557</v>
      </c>
      <c r="F661">
        <v>0</v>
      </c>
      <c r="G661">
        <v>0</v>
      </c>
    </row>
    <row r="662" spans="1:7">
      <c r="A662" t="str">
        <f>"173"</f>
        <v>173</v>
      </c>
      <c r="B662" t="s">
        <v>641</v>
      </c>
      <c r="C662" t="str">
        <f>"024890"</f>
        <v>024890</v>
      </c>
      <c r="D662" t="s">
        <v>642</v>
      </c>
      <c r="E662">
        <v>940</v>
      </c>
      <c r="F662">
        <v>0</v>
      </c>
      <c r="G662">
        <v>0</v>
      </c>
    </row>
    <row r="663" spans="1:7">
      <c r="A663" t="str">
        <f>"173"</f>
        <v>173</v>
      </c>
      <c r="B663" t="s">
        <v>641</v>
      </c>
      <c r="C663" t="str">
        <f>"037370"</f>
        <v>037370</v>
      </c>
      <c r="D663" t="s">
        <v>643</v>
      </c>
      <c r="E663">
        <v>645</v>
      </c>
      <c r="F663">
        <v>0</v>
      </c>
      <c r="G663">
        <v>0</v>
      </c>
    </row>
    <row r="664" spans="1:7">
      <c r="A664" t="str">
        <f>"173"</f>
        <v>173</v>
      </c>
      <c r="B664" t="s">
        <v>641</v>
      </c>
      <c r="C664" t="str">
        <f>"000910"</f>
        <v>000910</v>
      </c>
      <c r="D664" t="s">
        <v>644</v>
      </c>
      <c r="E664">
        <v>727</v>
      </c>
      <c r="F664">
        <v>0</v>
      </c>
      <c r="G664">
        <v>0</v>
      </c>
    </row>
    <row r="665" spans="1:7">
      <c r="A665" t="str">
        <f>"173"</f>
        <v>173</v>
      </c>
      <c r="B665" t="s">
        <v>641</v>
      </c>
      <c r="C665" t="str">
        <f>"003670"</f>
        <v>003670</v>
      </c>
      <c r="D665" t="s">
        <v>645</v>
      </c>
      <c r="E665">
        <v>142145</v>
      </c>
      <c r="F665">
        <v>0</v>
      </c>
      <c r="G665">
        <v>0</v>
      </c>
    </row>
    <row r="666" spans="1:7">
      <c r="A666" t="str">
        <f>"173"</f>
        <v>173</v>
      </c>
      <c r="B666" t="s">
        <v>641</v>
      </c>
      <c r="C666" t="str">
        <f>"047050"</f>
        <v>047050</v>
      </c>
      <c r="D666" t="s">
        <v>646</v>
      </c>
      <c r="E666">
        <v>25909</v>
      </c>
      <c r="F666">
        <v>0</v>
      </c>
      <c r="G666">
        <v>0</v>
      </c>
    </row>
    <row r="667" spans="1:7">
      <c r="A667" t="str">
        <f>"152"</f>
        <v>152</v>
      </c>
      <c r="B667" t="s">
        <v>647</v>
      </c>
      <c r="C667" t="str">
        <f>"011780"</f>
        <v>011780</v>
      </c>
      <c r="D667" t="s">
        <v>648</v>
      </c>
      <c r="E667">
        <v>37669</v>
      </c>
      <c r="F667">
        <v>0</v>
      </c>
      <c r="G667">
        <v>0</v>
      </c>
    </row>
    <row r="668" spans="1:7">
      <c r="A668" t="str">
        <f>"152"</f>
        <v>152</v>
      </c>
      <c r="B668" t="s">
        <v>647</v>
      </c>
      <c r="C668" t="str">
        <f>"051910"</f>
        <v>051910</v>
      </c>
      <c r="D668" t="s">
        <v>649</v>
      </c>
      <c r="E668">
        <v>410142</v>
      </c>
      <c r="F668">
        <v>0</v>
      </c>
      <c r="G668">
        <v>0</v>
      </c>
    </row>
    <row r="669" spans="1:7">
      <c r="A669" t="str">
        <f t="shared" ref="A669:A677" si="48">"570"</f>
        <v>570</v>
      </c>
      <c r="B669" t="s">
        <v>650</v>
      </c>
      <c r="C669" t="str">
        <f>"040910"</f>
        <v>040910</v>
      </c>
      <c r="D669" t="s">
        <v>651</v>
      </c>
      <c r="E669">
        <v>1630</v>
      </c>
      <c r="F669">
        <v>0</v>
      </c>
      <c r="G669">
        <v>0</v>
      </c>
    </row>
    <row r="670" spans="1:7">
      <c r="A670" t="str">
        <f t="shared" si="48"/>
        <v>570</v>
      </c>
      <c r="B670" t="s">
        <v>650</v>
      </c>
      <c r="C670" t="str">
        <f>"141000"</f>
        <v>141000</v>
      </c>
      <c r="D670" t="s">
        <v>652</v>
      </c>
      <c r="E670">
        <v>1062</v>
      </c>
      <c r="F670">
        <v>0</v>
      </c>
      <c r="G670">
        <v>0</v>
      </c>
    </row>
    <row r="671" spans="1:7">
      <c r="A671" t="str">
        <f t="shared" si="48"/>
        <v>570</v>
      </c>
      <c r="B671" t="s">
        <v>650</v>
      </c>
      <c r="C671" t="str">
        <f>"079950"</f>
        <v>079950</v>
      </c>
      <c r="D671" t="s">
        <v>565</v>
      </c>
      <c r="E671">
        <v>345</v>
      </c>
      <c r="F671">
        <v>0</v>
      </c>
      <c r="G671">
        <v>0</v>
      </c>
    </row>
    <row r="672" spans="1:7">
      <c r="A672" t="str">
        <f t="shared" si="48"/>
        <v>570</v>
      </c>
      <c r="B672" t="s">
        <v>650</v>
      </c>
      <c r="C672" t="str">
        <f>"036930"</f>
        <v>036930</v>
      </c>
      <c r="D672" t="s">
        <v>64</v>
      </c>
      <c r="E672">
        <v>5404</v>
      </c>
      <c r="F672">
        <v>0</v>
      </c>
      <c r="G672">
        <v>0</v>
      </c>
    </row>
    <row r="673" spans="1:9">
      <c r="A673" t="str">
        <f t="shared" si="48"/>
        <v>570</v>
      </c>
      <c r="B673" t="s">
        <v>650</v>
      </c>
      <c r="C673" t="str">
        <f>"030530"</f>
        <v>030530</v>
      </c>
      <c r="D673" t="s">
        <v>65</v>
      </c>
      <c r="E673">
        <v>2657</v>
      </c>
      <c r="F673">
        <v>0</v>
      </c>
      <c r="G673">
        <v>0</v>
      </c>
    </row>
    <row r="674" spans="1:9">
      <c r="A674" t="str">
        <f t="shared" si="48"/>
        <v>570</v>
      </c>
      <c r="B674" t="s">
        <v>650</v>
      </c>
      <c r="C674" t="str">
        <f>"056190"</f>
        <v>056190</v>
      </c>
      <c r="D674" t="s">
        <v>566</v>
      </c>
      <c r="E674">
        <v>12712</v>
      </c>
      <c r="F674">
        <v>0</v>
      </c>
      <c r="G674">
        <v>0</v>
      </c>
    </row>
    <row r="675" spans="1:9">
      <c r="A675" t="str">
        <f t="shared" si="48"/>
        <v>570</v>
      </c>
      <c r="B675" t="s">
        <v>650</v>
      </c>
      <c r="C675" t="str">
        <f>"083930"</f>
        <v>083930</v>
      </c>
      <c r="D675" t="s">
        <v>567</v>
      </c>
      <c r="E675">
        <v>1927</v>
      </c>
      <c r="F675">
        <v>0</v>
      </c>
      <c r="G675">
        <v>0</v>
      </c>
    </row>
    <row r="676" spans="1:9">
      <c r="A676" t="str">
        <f t="shared" si="48"/>
        <v>570</v>
      </c>
      <c r="B676" t="s">
        <v>650</v>
      </c>
      <c r="C676" t="str">
        <f>"080000"</f>
        <v>080000</v>
      </c>
      <c r="D676" t="s">
        <v>568</v>
      </c>
      <c r="E676">
        <v>946</v>
      </c>
      <c r="F676">
        <v>0</v>
      </c>
      <c r="G676">
        <v>0</v>
      </c>
    </row>
    <row r="677" spans="1:9">
      <c r="A677" t="str">
        <f t="shared" si="48"/>
        <v>570</v>
      </c>
      <c r="B677" t="s">
        <v>650</v>
      </c>
      <c r="C677" t="str">
        <f>"054620"</f>
        <v>054620</v>
      </c>
      <c r="D677" t="s">
        <v>569</v>
      </c>
      <c r="E677">
        <v>2804</v>
      </c>
      <c r="F677">
        <v>0</v>
      </c>
      <c r="G677">
        <v>0</v>
      </c>
    </row>
    <row r="678" spans="1:9" ht="53.25">
      <c r="A678" t="str">
        <f t="shared" ref="A678:A693" si="49">"141"</f>
        <v>141</v>
      </c>
      <c r="B678" t="s">
        <v>653</v>
      </c>
      <c r="C678" t="str">
        <f>"247540"</f>
        <v>247540</v>
      </c>
      <c r="D678" t="s">
        <v>654</v>
      </c>
      <c r="E678">
        <v>94574</v>
      </c>
      <c r="F678">
        <v>0</v>
      </c>
      <c r="G678">
        <v>0</v>
      </c>
      <c r="H678" s="4" t="s">
        <v>655</v>
      </c>
      <c r="I678" t="s">
        <v>322</v>
      </c>
    </row>
    <row r="679" spans="1:9" ht="69.75" customHeight="1">
      <c r="A679" t="str">
        <f t="shared" si="49"/>
        <v>141</v>
      </c>
      <c r="B679" t="s">
        <v>653</v>
      </c>
      <c r="C679" t="str">
        <f>"86520"</f>
        <v>86520</v>
      </c>
      <c r="D679" t="s">
        <v>656</v>
      </c>
      <c r="E679">
        <v>28033</v>
      </c>
      <c r="F679">
        <v>0</v>
      </c>
      <c r="G679">
        <v>0</v>
      </c>
      <c r="H679" s="4" t="s">
        <v>657</v>
      </c>
      <c r="I679" t="s">
        <v>322</v>
      </c>
    </row>
    <row r="680" spans="1:9">
      <c r="A680" t="str">
        <f t="shared" si="49"/>
        <v>141</v>
      </c>
      <c r="B680" t="s">
        <v>653</v>
      </c>
      <c r="C680" t="str">
        <f>"054210"</f>
        <v>054210</v>
      </c>
      <c r="D680" t="s">
        <v>214</v>
      </c>
      <c r="E680">
        <v>3035</v>
      </c>
      <c r="F680">
        <v>0</v>
      </c>
      <c r="G680">
        <v>0</v>
      </c>
    </row>
    <row r="681" spans="1:9">
      <c r="A681" t="str">
        <f t="shared" si="49"/>
        <v>141</v>
      </c>
      <c r="B681" t="s">
        <v>653</v>
      </c>
      <c r="C681" t="str">
        <f>"161000"</f>
        <v>161000</v>
      </c>
      <c r="D681" t="s">
        <v>402</v>
      </c>
      <c r="E681">
        <v>4189</v>
      </c>
      <c r="F681">
        <v>0</v>
      </c>
      <c r="G681">
        <v>0</v>
      </c>
    </row>
    <row r="682" spans="1:9">
      <c r="A682" t="str">
        <f t="shared" si="49"/>
        <v>141</v>
      </c>
      <c r="B682" t="s">
        <v>653</v>
      </c>
      <c r="C682" t="str">
        <f>"004000"</f>
        <v>004000</v>
      </c>
      <c r="D682" t="s">
        <v>658</v>
      </c>
      <c r="E682">
        <v>14138</v>
      </c>
      <c r="F682">
        <v>0</v>
      </c>
      <c r="G682">
        <v>0</v>
      </c>
    </row>
    <row r="683" spans="1:9">
      <c r="A683" t="str">
        <f t="shared" si="49"/>
        <v>141</v>
      </c>
      <c r="B683" t="s">
        <v>653</v>
      </c>
      <c r="C683" t="str">
        <f>"078930"</f>
        <v>078930</v>
      </c>
      <c r="D683" t="s">
        <v>659</v>
      </c>
      <c r="E683">
        <v>38839</v>
      </c>
      <c r="F683">
        <v>0</v>
      </c>
      <c r="G683">
        <v>0</v>
      </c>
    </row>
    <row r="684" spans="1:9">
      <c r="A684" t="str">
        <f t="shared" si="49"/>
        <v>141</v>
      </c>
      <c r="B684" t="s">
        <v>653</v>
      </c>
      <c r="C684" t="str">
        <f>"036830"</f>
        <v>036830</v>
      </c>
      <c r="D684" t="s">
        <v>144</v>
      </c>
      <c r="E684">
        <v>5210</v>
      </c>
      <c r="F684">
        <v>0</v>
      </c>
      <c r="G684">
        <v>0</v>
      </c>
    </row>
    <row r="685" spans="1:9">
      <c r="A685" t="str">
        <f t="shared" si="49"/>
        <v>141</v>
      </c>
      <c r="B685" t="s">
        <v>653</v>
      </c>
      <c r="C685" t="str">
        <f>"131100"</f>
        <v>131100</v>
      </c>
      <c r="D685" t="s">
        <v>660</v>
      </c>
      <c r="E685">
        <v>635</v>
      </c>
      <c r="F685">
        <v>0</v>
      </c>
      <c r="G685">
        <v>0</v>
      </c>
    </row>
    <row r="686" spans="1:9">
      <c r="A686" t="str">
        <f t="shared" si="49"/>
        <v>141</v>
      </c>
      <c r="B686" t="s">
        <v>653</v>
      </c>
      <c r="C686" t="str">
        <f>"102710"</f>
        <v>102710</v>
      </c>
      <c r="D686" t="s">
        <v>146</v>
      </c>
      <c r="E686">
        <v>2950</v>
      </c>
      <c r="F686">
        <v>0</v>
      </c>
      <c r="G686">
        <v>0</v>
      </c>
    </row>
    <row r="687" spans="1:9">
      <c r="A687" t="str">
        <f t="shared" si="49"/>
        <v>141</v>
      </c>
      <c r="B687" t="s">
        <v>653</v>
      </c>
      <c r="C687" t="str">
        <f>"005070"</f>
        <v>005070</v>
      </c>
      <c r="D687" t="s">
        <v>661</v>
      </c>
      <c r="E687">
        <v>16306</v>
      </c>
      <c r="F687">
        <v>0</v>
      </c>
      <c r="G687">
        <v>0</v>
      </c>
    </row>
    <row r="688" spans="1:9">
      <c r="A688" t="str">
        <f t="shared" si="49"/>
        <v>141</v>
      </c>
      <c r="B688" t="s">
        <v>653</v>
      </c>
      <c r="C688" t="str">
        <f>"005420"</f>
        <v>005420</v>
      </c>
      <c r="D688" t="s">
        <v>662</v>
      </c>
      <c r="E688">
        <v>7544</v>
      </c>
      <c r="F688">
        <v>0</v>
      </c>
      <c r="G688">
        <v>0</v>
      </c>
    </row>
    <row r="689" spans="1:9">
      <c r="A689" t="str">
        <f t="shared" si="49"/>
        <v>141</v>
      </c>
      <c r="B689" t="s">
        <v>653</v>
      </c>
      <c r="C689" t="str">
        <f>"047310"</f>
        <v>047310</v>
      </c>
      <c r="D689" t="s">
        <v>456</v>
      </c>
      <c r="E689">
        <v>1533</v>
      </c>
      <c r="F689">
        <v>0</v>
      </c>
      <c r="G689">
        <v>0</v>
      </c>
    </row>
    <row r="690" spans="1:9">
      <c r="A690" t="str">
        <f t="shared" si="49"/>
        <v>141</v>
      </c>
      <c r="B690" t="s">
        <v>653</v>
      </c>
      <c r="C690" t="str">
        <f>"091580"</f>
        <v>091580</v>
      </c>
      <c r="D690" t="s">
        <v>663</v>
      </c>
      <c r="E690">
        <v>1990</v>
      </c>
      <c r="F690">
        <v>0</v>
      </c>
      <c r="G690">
        <v>0</v>
      </c>
    </row>
    <row r="691" spans="1:9">
      <c r="A691" t="str">
        <f t="shared" si="49"/>
        <v>141</v>
      </c>
      <c r="B691" t="s">
        <v>653</v>
      </c>
      <c r="C691" t="str">
        <f>"093370"</f>
        <v>093370</v>
      </c>
      <c r="D691" t="s">
        <v>664</v>
      </c>
      <c r="E691">
        <v>10048</v>
      </c>
      <c r="F691">
        <v>0</v>
      </c>
      <c r="G691">
        <v>0</v>
      </c>
    </row>
    <row r="692" spans="1:9">
      <c r="A692" t="str">
        <f t="shared" si="49"/>
        <v>141</v>
      </c>
      <c r="B692" t="s">
        <v>653</v>
      </c>
      <c r="C692" t="str">
        <f>"066970"</f>
        <v>066970</v>
      </c>
      <c r="D692" t="s">
        <v>665</v>
      </c>
      <c r="E692">
        <v>63860</v>
      </c>
      <c r="F692">
        <v>0</v>
      </c>
      <c r="G692">
        <v>0</v>
      </c>
    </row>
    <row r="693" spans="1:9" ht="148.5">
      <c r="A693" t="str">
        <f t="shared" si="49"/>
        <v>141</v>
      </c>
      <c r="B693" t="s">
        <v>653</v>
      </c>
      <c r="C693" t="str">
        <f>"009830"</f>
        <v>009830</v>
      </c>
      <c r="D693" t="s">
        <v>623</v>
      </c>
      <c r="E693">
        <v>90857</v>
      </c>
      <c r="F693">
        <v>0</v>
      </c>
      <c r="G693">
        <v>0</v>
      </c>
      <c r="H693" s="1" t="s">
        <v>624</v>
      </c>
      <c r="I693" t="s">
        <v>12</v>
      </c>
    </row>
    <row r="694" spans="1:9">
      <c r="A694" t="str">
        <f t="shared" ref="A694:A700" si="50">"255"</f>
        <v>255</v>
      </c>
      <c r="B694" t="s">
        <v>666</v>
      </c>
      <c r="C694" t="str">
        <f>"111770"</f>
        <v>111770</v>
      </c>
      <c r="D694" t="s">
        <v>490</v>
      </c>
      <c r="E694">
        <v>19209</v>
      </c>
      <c r="F694">
        <v>0</v>
      </c>
      <c r="G694">
        <v>0</v>
      </c>
    </row>
    <row r="695" spans="1:9">
      <c r="A695" t="str">
        <f t="shared" si="50"/>
        <v>255</v>
      </c>
      <c r="B695" t="s">
        <v>666</v>
      </c>
      <c r="C695" t="str">
        <f>"000680"</f>
        <v>000680</v>
      </c>
      <c r="D695" t="s">
        <v>667</v>
      </c>
      <c r="E695">
        <v>1872</v>
      </c>
      <c r="F695">
        <v>0</v>
      </c>
      <c r="G695">
        <v>0</v>
      </c>
    </row>
    <row r="696" spans="1:9">
      <c r="A696" t="str">
        <f t="shared" si="50"/>
        <v>255</v>
      </c>
      <c r="B696" t="s">
        <v>666</v>
      </c>
      <c r="C696" t="str">
        <f>"009970"</f>
        <v>009970</v>
      </c>
      <c r="D696" t="s">
        <v>668</v>
      </c>
      <c r="E696">
        <v>7922</v>
      </c>
      <c r="F696">
        <v>0</v>
      </c>
      <c r="G696">
        <v>0</v>
      </c>
    </row>
    <row r="697" spans="1:9">
      <c r="A697" t="str">
        <f t="shared" si="50"/>
        <v>255</v>
      </c>
      <c r="B697" t="s">
        <v>666</v>
      </c>
      <c r="C697" t="str">
        <f>"093050"</f>
        <v>093050</v>
      </c>
      <c r="D697" t="s">
        <v>669</v>
      </c>
      <c r="E697">
        <v>4854</v>
      </c>
      <c r="F697">
        <v>0</v>
      </c>
      <c r="G697">
        <v>0</v>
      </c>
    </row>
    <row r="698" spans="1:9">
      <c r="A698" t="str">
        <f t="shared" si="50"/>
        <v>255</v>
      </c>
      <c r="B698" t="s">
        <v>666</v>
      </c>
      <c r="C698" t="str">
        <f>"081660"</f>
        <v>081660</v>
      </c>
      <c r="D698" t="s">
        <v>670</v>
      </c>
      <c r="E698">
        <v>20322</v>
      </c>
      <c r="F698">
        <v>0</v>
      </c>
      <c r="G698">
        <v>0</v>
      </c>
    </row>
    <row r="699" spans="1:9">
      <c r="A699" t="str">
        <f t="shared" si="50"/>
        <v>255</v>
      </c>
      <c r="B699" t="s">
        <v>666</v>
      </c>
      <c r="C699" t="str">
        <f>"120110"</f>
        <v>120110</v>
      </c>
      <c r="D699" t="s">
        <v>671</v>
      </c>
      <c r="E699">
        <v>11407</v>
      </c>
      <c r="F699">
        <v>0</v>
      </c>
      <c r="G699">
        <v>0</v>
      </c>
    </row>
    <row r="700" spans="1:9">
      <c r="A700" t="str">
        <f t="shared" si="50"/>
        <v>255</v>
      </c>
      <c r="B700" t="s">
        <v>666</v>
      </c>
      <c r="C700" t="str">
        <f>"007980"</f>
        <v>007980</v>
      </c>
      <c r="D700" t="s">
        <v>493</v>
      </c>
      <c r="E700">
        <v>844</v>
      </c>
      <c r="F700">
        <v>0</v>
      </c>
      <c r="G700">
        <v>0</v>
      </c>
    </row>
    <row r="701" spans="1:9">
      <c r="A701" t="str">
        <f>"351"</f>
        <v>351</v>
      </c>
      <c r="B701" t="s">
        <v>672</v>
      </c>
      <c r="C701" t="str">
        <f>"041830"</f>
        <v>041830</v>
      </c>
      <c r="D701" t="s">
        <v>235</v>
      </c>
      <c r="E701">
        <v>2689</v>
      </c>
      <c r="F701">
        <v>0</v>
      </c>
      <c r="G701">
        <v>0</v>
      </c>
    </row>
    <row r="702" spans="1:9">
      <c r="A702" t="str">
        <f>"351"</f>
        <v>351</v>
      </c>
      <c r="B702" t="s">
        <v>672</v>
      </c>
      <c r="C702" t="str">
        <f>"085370"</f>
        <v>085370</v>
      </c>
      <c r="D702" t="s">
        <v>673</v>
      </c>
      <c r="E702">
        <v>4775</v>
      </c>
      <c r="F702">
        <v>0</v>
      </c>
      <c r="G702">
        <v>0</v>
      </c>
    </row>
    <row r="703" spans="1:9">
      <c r="A703" t="str">
        <f>"351"</f>
        <v>351</v>
      </c>
      <c r="B703" t="s">
        <v>672</v>
      </c>
      <c r="C703" t="str">
        <f>"006140"</f>
        <v>006140</v>
      </c>
      <c r="D703" t="s">
        <v>674</v>
      </c>
      <c r="E703">
        <v>1074</v>
      </c>
      <c r="F703">
        <v>0</v>
      </c>
      <c r="G703">
        <v>0</v>
      </c>
    </row>
    <row r="704" spans="1:9">
      <c r="A704" t="str">
        <f t="shared" ref="A704:A712" si="51">"370"</f>
        <v>370</v>
      </c>
      <c r="B704" t="s">
        <v>675</v>
      </c>
      <c r="C704" t="str">
        <f>"006280"</f>
        <v>006280</v>
      </c>
      <c r="D704" t="s">
        <v>676</v>
      </c>
      <c r="E704">
        <v>14783</v>
      </c>
      <c r="F704">
        <v>0</v>
      </c>
      <c r="G704">
        <v>0</v>
      </c>
    </row>
    <row r="705" spans="1:7">
      <c r="A705" t="str">
        <f t="shared" si="51"/>
        <v>370</v>
      </c>
      <c r="B705" t="s">
        <v>675</v>
      </c>
      <c r="C705" t="str">
        <f>"000640"</f>
        <v>000640</v>
      </c>
      <c r="D705" t="s">
        <v>677</v>
      </c>
      <c r="E705">
        <v>6304</v>
      </c>
      <c r="F705">
        <v>0</v>
      </c>
      <c r="G705">
        <v>0</v>
      </c>
    </row>
    <row r="706" spans="1:7">
      <c r="A706" t="str">
        <f t="shared" si="51"/>
        <v>370</v>
      </c>
      <c r="B706" t="s">
        <v>675</v>
      </c>
      <c r="C706" t="str">
        <f>"140410"</f>
        <v>140410</v>
      </c>
      <c r="D706" t="s">
        <v>678</v>
      </c>
      <c r="E706">
        <v>3450</v>
      </c>
      <c r="F706">
        <v>0</v>
      </c>
      <c r="G706">
        <v>0</v>
      </c>
    </row>
    <row r="707" spans="1:7">
      <c r="A707" t="str">
        <f t="shared" si="51"/>
        <v>370</v>
      </c>
      <c r="B707" t="s">
        <v>675</v>
      </c>
      <c r="C707" t="str">
        <f>"078160"</f>
        <v>078160</v>
      </c>
      <c r="D707" t="s">
        <v>191</v>
      </c>
      <c r="E707">
        <v>2497</v>
      </c>
      <c r="F707">
        <v>0</v>
      </c>
      <c r="G707">
        <v>0</v>
      </c>
    </row>
    <row r="708" spans="1:7">
      <c r="A708" t="str">
        <f t="shared" si="51"/>
        <v>370</v>
      </c>
      <c r="B708" t="s">
        <v>675</v>
      </c>
      <c r="C708" t="str">
        <f>"065650"</f>
        <v>065650</v>
      </c>
      <c r="D708" t="s">
        <v>679</v>
      </c>
      <c r="E708">
        <v>532</v>
      </c>
      <c r="F708">
        <v>0</v>
      </c>
      <c r="G708">
        <v>0</v>
      </c>
    </row>
    <row r="709" spans="1:7">
      <c r="A709" t="str">
        <f t="shared" si="51"/>
        <v>370</v>
      </c>
      <c r="B709" t="s">
        <v>675</v>
      </c>
      <c r="C709" t="str">
        <f>"000100"</f>
        <v>000100</v>
      </c>
      <c r="D709" t="s">
        <v>680</v>
      </c>
      <c r="E709">
        <v>40131</v>
      </c>
      <c r="F709">
        <v>0</v>
      </c>
      <c r="G709">
        <v>0</v>
      </c>
    </row>
    <row r="710" spans="1:7">
      <c r="A710" t="str">
        <f t="shared" si="51"/>
        <v>370</v>
      </c>
      <c r="B710" t="s">
        <v>675</v>
      </c>
      <c r="C710" t="str">
        <f>"128940"</f>
        <v>128940</v>
      </c>
      <c r="D710" t="s">
        <v>609</v>
      </c>
      <c r="E710">
        <v>32951</v>
      </c>
      <c r="F710">
        <v>0</v>
      </c>
      <c r="G710">
        <v>0</v>
      </c>
    </row>
    <row r="711" spans="1:7">
      <c r="A711" t="str">
        <f t="shared" si="51"/>
        <v>370</v>
      </c>
      <c r="B711" t="s">
        <v>675</v>
      </c>
      <c r="C711" t="str">
        <f>"060590"</f>
        <v>060590</v>
      </c>
      <c r="D711" t="s">
        <v>681</v>
      </c>
      <c r="E711">
        <v>1463</v>
      </c>
      <c r="F711">
        <v>0</v>
      </c>
      <c r="G711">
        <v>0</v>
      </c>
    </row>
    <row r="712" spans="1:7">
      <c r="A712" t="str">
        <f t="shared" si="51"/>
        <v>370</v>
      </c>
      <c r="B712" t="s">
        <v>675</v>
      </c>
      <c r="C712" t="str">
        <f>"084990"</f>
        <v>084990</v>
      </c>
      <c r="D712" t="s">
        <v>682</v>
      </c>
      <c r="E712">
        <v>3957</v>
      </c>
      <c r="F712">
        <v>0</v>
      </c>
      <c r="G712">
        <v>0</v>
      </c>
    </row>
    <row r="713" spans="1:7">
      <c r="A713" t="str">
        <f t="shared" ref="A713:A725" si="52">"245"</f>
        <v>245</v>
      </c>
      <c r="B713" t="s">
        <v>683</v>
      </c>
      <c r="C713" t="str">
        <f>"012330"</f>
        <v>012330</v>
      </c>
      <c r="D713" t="s">
        <v>422</v>
      </c>
      <c r="E713">
        <v>195170</v>
      </c>
      <c r="F713">
        <v>0</v>
      </c>
      <c r="G713">
        <v>0</v>
      </c>
    </row>
    <row r="714" spans="1:7">
      <c r="A714" t="str">
        <f t="shared" si="52"/>
        <v>245</v>
      </c>
      <c r="B714" t="s">
        <v>683</v>
      </c>
      <c r="C714" t="str">
        <f>"018880"</f>
        <v>018880</v>
      </c>
      <c r="D714" t="s">
        <v>684</v>
      </c>
      <c r="E714">
        <v>44199</v>
      </c>
      <c r="F714">
        <v>0</v>
      </c>
      <c r="G714">
        <v>0</v>
      </c>
    </row>
    <row r="715" spans="1:7">
      <c r="A715" t="str">
        <f t="shared" si="52"/>
        <v>245</v>
      </c>
      <c r="B715" t="s">
        <v>683</v>
      </c>
      <c r="C715" t="str">
        <f>"001820"</f>
        <v>001820</v>
      </c>
      <c r="D715" t="s">
        <v>118</v>
      </c>
      <c r="E715">
        <v>3649</v>
      </c>
      <c r="F715">
        <v>0</v>
      </c>
      <c r="G715">
        <v>0</v>
      </c>
    </row>
    <row r="716" spans="1:7">
      <c r="A716" t="str">
        <f t="shared" si="52"/>
        <v>245</v>
      </c>
      <c r="B716" t="s">
        <v>683</v>
      </c>
      <c r="C716" t="str">
        <f>"064960"</f>
        <v>064960</v>
      </c>
      <c r="D716" t="s">
        <v>627</v>
      </c>
      <c r="E716">
        <v>6032</v>
      </c>
      <c r="F716">
        <v>0</v>
      </c>
      <c r="G716">
        <v>0</v>
      </c>
    </row>
    <row r="717" spans="1:7">
      <c r="A717" t="str">
        <f t="shared" si="52"/>
        <v>245</v>
      </c>
      <c r="B717" t="s">
        <v>683</v>
      </c>
      <c r="C717" t="str">
        <f>"060980"</f>
        <v>060980</v>
      </c>
      <c r="D717" t="s">
        <v>423</v>
      </c>
      <c r="E717">
        <v>3115</v>
      </c>
      <c r="F717">
        <v>0</v>
      </c>
      <c r="G717">
        <v>0</v>
      </c>
    </row>
    <row r="718" spans="1:7">
      <c r="A718" t="str">
        <f t="shared" si="52"/>
        <v>245</v>
      </c>
      <c r="B718" t="s">
        <v>683</v>
      </c>
      <c r="C718" t="str">
        <f>"005380"</f>
        <v>005380</v>
      </c>
      <c r="D718" t="s">
        <v>685</v>
      </c>
      <c r="E718">
        <v>339732</v>
      </c>
      <c r="F718">
        <v>0</v>
      </c>
      <c r="G718">
        <v>0</v>
      </c>
    </row>
    <row r="719" spans="1:7">
      <c r="A719" t="str">
        <f t="shared" si="52"/>
        <v>245</v>
      </c>
      <c r="B719" t="s">
        <v>683</v>
      </c>
      <c r="C719" t="str">
        <f>"000270"</f>
        <v>000270</v>
      </c>
      <c r="D719" t="s">
        <v>686</v>
      </c>
      <c r="E719">
        <v>247677</v>
      </c>
      <c r="F719">
        <v>0</v>
      </c>
      <c r="G719">
        <v>0</v>
      </c>
    </row>
    <row r="720" spans="1:7">
      <c r="A720" t="str">
        <f t="shared" si="52"/>
        <v>245</v>
      </c>
      <c r="B720" t="s">
        <v>683</v>
      </c>
      <c r="C720" t="str">
        <f>"025540"</f>
        <v>025540</v>
      </c>
      <c r="D720" t="s">
        <v>487</v>
      </c>
      <c r="E720">
        <v>5208</v>
      </c>
      <c r="F720">
        <v>0</v>
      </c>
      <c r="G720">
        <v>0</v>
      </c>
    </row>
    <row r="721" spans="1:9">
      <c r="A721" t="str">
        <f t="shared" si="52"/>
        <v>245</v>
      </c>
      <c r="B721" t="s">
        <v>683</v>
      </c>
      <c r="C721" t="str">
        <f>"023800"</f>
        <v>023800</v>
      </c>
      <c r="D721" t="s">
        <v>687</v>
      </c>
      <c r="E721">
        <v>1079</v>
      </c>
      <c r="F721">
        <v>0</v>
      </c>
      <c r="G721">
        <v>0</v>
      </c>
    </row>
    <row r="722" spans="1:9">
      <c r="A722" t="str">
        <f t="shared" si="52"/>
        <v>245</v>
      </c>
      <c r="B722" t="s">
        <v>683</v>
      </c>
      <c r="C722" t="str">
        <f>"072470"</f>
        <v>072470</v>
      </c>
      <c r="D722" t="s">
        <v>688</v>
      </c>
      <c r="E722">
        <v>819</v>
      </c>
      <c r="F722">
        <v>0</v>
      </c>
      <c r="G722">
        <v>0</v>
      </c>
    </row>
    <row r="723" spans="1:9">
      <c r="A723" t="str">
        <f t="shared" si="52"/>
        <v>245</v>
      </c>
      <c r="B723" t="s">
        <v>683</v>
      </c>
      <c r="C723" t="str">
        <f>"051910"</f>
        <v>051910</v>
      </c>
      <c r="D723" t="s">
        <v>649</v>
      </c>
      <c r="E723">
        <v>410142</v>
      </c>
      <c r="F723">
        <v>0</v>
      </c>
      <c r="G723">
        <v>0</v>
      </c>
    </row>
    <row r="724" spans="1:9" ht="49.5">
      <c r="A724" t="str">
        <f t="shared" si="52"/>
        <v>245</v>
      </c>
      <c r="B724" t="s">
        <v>683</v>
      </c>
      <c r="C724" t="str">
        <f>"006400"</f>
        <v>006400</v>
      </c>
      <c r="D724" t="s">
        <v>689</v>
      </c>
      <c r="E724">
        <v>400897</v>
      </c>
      <c r="F724">
        <v>0</v>
      </c>
      <c r="G724">
        <v>0</v>
      </c>
      <c r="H724" s="1" t="s">
        <v>690</v>
      </c>
      <c r="I724" t="s">
        <v>12</v>
      </c>
    </row>
    <row r="725" spans="1:9">
      <c r="A725" t="str">
        <f t="shared" si="52"/>
        <v>245</v>
      </c>
      <c r="B725" t="s">
        <v>683</v>
      </c>
      <c r="C725" t="str">
        <f>"010120"</f>
        <v>010120</v>
      </c>
      <c r="D725" t="s">
        <v>691</v>
      </c>
      <c r="E725">
        <v>14850</v>
      </c>
      <c r="F725">
        <v>0</v>
      </c>
      <c r="G725">
        <v>0</v>
      </c>
    </row>
    <row r="726" spans="1:9" ht="115.5">
      <c r="A726" t="str">
        <f t="shared" ref="A726:A737" si="53">"820"</f>
        <v>820</v>
      </c>
      <c r="B726" t="s">
        <v>692</v>
      </c>
      <c r="C726" t="str">
        <f>"048910"</f>
        <v>048910</v>
      </c>
      <c r="D726" t="s">
        <v>366</v>
      </c>
      <c r="E726">
        <v>2057</v>
      </c>
      <c r="F726">
        <v>0</v>
      </c>
      <c r="G726">
        <v>0</v>
      </c>
      <c r="H726" s="1" t="s">
        <v>367</v>
      </c>
      <c r="I726" t="s">
        <v>322</v>
      </c>
    </row>
    <row r="727" spans="1:9" ht="99">
      <c r="A727" t="str">
        <f t="shared" si="53"/>
        <v>820</v>
      </c>
      <c r="B727" t="s">
        <v>692</v>
      </c>
      <c r="C727" t="str">
        <f>"036000"</f>
        <v>036000</v>
      </c>
      <c r="D727" t="s">
        <v>387</v>
      </c>
      <c r="E727">
        <v>451</v>
      </c>
      <c r="F727">
        <v>0</v>
      </c>
      <c r="G727">
        <v>0</v>
      </c>
      <c r="H727" s="1" t="s">
        <v>388</v>
      </c>
      <c r="I727" t="s">
        <v>322</v>
      </c>
    </row>
    <row r="728" spans="1:9" ht="49.5">
      <c r="A728" t="str">
        <f t="shared" si="53"/>
        <v>820</v>
      </c>
      <c r="B728" t="s">
        <v>692</v>
      </c>
      <c r="C728" t="str">
        <f>"013990"</f>
        <v>013990</v>
      </c>
      <c r="D728" t="s">
        <v>693</v>
      </c>
      <c r="E728">
        <v>1179</v>
      </c>
      <c r="F728">
        <v>0</v>
      </c>
      <c r="G728">
        <v>0</v>
      </c>
      <c r="H728" s="1" t="s">
        <v>694</v>
      </c>
      <c r="I728" t="s">
        <v>322</v>
      </c>
    </row>
    <row r="729" spans="1:9" ht="99">
      <c r="A729" t="str">
        <f t="shared" si="53"/>
        <v>820</v>
      </c>
      <c r="B729" t="s">
        <v>692</v>
      </c>
      <c r="C729" t="str">
        <f>"003920"</f>
        <v>003920</v>
      </c>
      <c r="D729" t="s">
        <v>695</v>
      </c>
      <c r="E729">
        <v>3254</v>
      </c>
      <c r="F729">
        <v>0</v>
      </c>
      <c r="G729">
        <v>0</v>
      </c>
      <c r="H729" s="1" t="s">
        <v>696</v>
      </c>
      <c r="I729" t="s">
        <v>12</v>
      </c>
    </row>
    <row r="730" spans="1:9" ht="49.5">
      <c r="A730" t="str">
        <f t="shared" si="53"/>
        <v>820</v>
      </c>
      <c r="B730" t="s">
        <v>692</v>
      </c>
      <c r="C730" t="str">
        <f>"039830"</f>
        <v>039830</v>
      </c>
      <c r="D730" t="s">
        <v>368</v>
      </c>
      <c r="E730">
        <v>849</v>
      </c>
      <c r="F730">
        <v>0</v>
      </c>
      <c r="G730">
        <v>0</v>
      </c>
      <c r="H730" s="1" t="s">
        <v>697</v>
      </c>
      <c r="I730" t="s">
        <v>322</v>
      </c>
    </row>
    <row r="731" spans="1:9" ht="49.5">
      <c r="A731" t="str">
        <f t="shared" si="53"/>
        <v>820</v>
      </c>
      <c r="B731" t="s">
        <v>692</v>
      </c>
      <c r="C731" t="str">
        <f>"066910"</f>
        <v>066910</v>
      </c>
      <c r="D731" t="s">
        <v>369</v>
      </c>
      <c r="E731">
        <v>522</v>
      </c>
      <c r="F731">
        <v>0</v>
      </c>
      <c r="G731">
        <v>0</v>
      </c>
      <c r="H731" s="1" t="s">
        <v>370</v>
      </c>
      <c r="I731" t="s">
        <v>322</v>
      </c>
    </row>
    <row r="732" spans="1:9">
      <c r="A732" t="str">
        <f t="shared" si="53"/>
        <v>820</v>
      </c>
      <c r="B732" t="s">
        <v>692</v>
      </c>
      <c r="C732" t="str">
        <f>"068290"</f>
        <v>068290</v>
      </c>
      <c r="D732" t="s">
        <v>392</v>
      </c>
      <c r="E732">
        <v>2420</v>
      </c>
      <c r="F732">
        <v>0</v>
      </c>
      <c r="G732">
        <v>0</v>
      </c>
    </row>
    <row r="733" spans="1:9">
      <c r="A733" t="str">
        <f t="shared" si="53"/>
        <v>820</v>
      </c>
      <c r="B733" t="s">
        <v>692</v>
      </c>
      <c r="C733" t="str">
        <f>"014100"</f>
        <v>014100</v>
      </c>
      <c r="D733" t="s">
        <v>698</v>
      </c>
      <c r="E733">
        <v>358</v>
      </c>
      <c r="F733">
        <v>0</v>
      </c>
      <c r="G733">
        <v>0</v>
      </c>
    </row>
    <row r="734" spans="1:9">
      <c r="A734" t="str">
        <f t="shared" si="53"/>
        <v>820</v>
      </c>
      <c r="B734" t="s">
        <v>692</v>
      </c>
      <c r="C734" t="str">
        <f>"005990"</f>
        <v>005990</v>
      </c>
      <c r="D734" t="s">
        <v>699</v>
      </c>
      <c r="E734">
        <v>1137</v>
      </c>
      <c r="F734">
        <v>0</v>
      </c>
      <c r="G734">
        <v>0</v>
      </c>
    </row>
    <row r="735" spans="1:9">
      <c r="A735" t="str">
        <f t="shared" si="53"/>
        <v>820</v>
      </c>
      <c r="B735" t="s">
        <v>692</v>
      </c>
      <c r="C735" t="str">
        <f>"019680"</f>
        <v>019680</v>
      </c>
      <c r="D735" t="s">
        <v>396</v>
      </c>
      <c r="E735">
        <v>2181</v>
      </c>
      <c r="F735">
        <v>0</v>
      </c>
      <c r="G735">
        <v>0</v>
      </c>
    </row>
    <row r="736" spans="1:9">
      <c r="A736" t="str">
        <f t="shared" si="53"/>
        <v>820</v>
      </c>
      <c r="B736" t="s">
        <v>692</v>
      </c>
      <c r="C736" t="str">
        <f>"095720"</f>
        <v>095720</v>
      </c>
      <c r="D736" t="s">
        <v>397</v>
      </c>
      <c r="E736">
        <v>2732</v>
      </c>
      <c r="F736">
        <v>0</v>
      </c>
      <c r="G736">
        <v>0</v>
      </c>
    </row>
    <row r="737" spans="1:9">
      <c r="A737" t="str">
        <f t="shared" si="53"/>
        <v>820</v>
      </c>
      <c r="B737" t="s">
        <v>692</v>
      </c>
      <c r="C737" t="str">
        <f>"159580"</f>
        <v>159580</v>
      </c>
      <c r="D737" t="s">
        <v>700</v>
      </c>
      <c r="E737">
        <v>1344</v>
      </c>
      <c r="F737">
        <v>0</v>
      </c>
      <c r="G737">
        <v>0</v>
      </c>
    </row>
    <row r="738" spans="1:9" ht="66">
      <c r="A738" t="str">
        <f>"284"</f>
        <v>284</v>
      </c>
      <c r="B738" t="s">
        <v>701</v>
      </c>
      <c r="C738" t="str">
        <f>"054780"</f>
        <v>054780</v>
      </c>
      <c r="D738" t="s">
        <v>577</v>
      </c>
      <c r="E738">
        <v>1865</v>
      </c>
      <c r="F738">
        <v>0</v>
      </c>
      <c r="G738">
        <v>0</v>
      </c>
      <c r="H738" s="1" t="s">
        <v>578</v>
      </c>
      <c r="I738" t="s">
        <v>322</v>
      </c>
    </row>
    <row r="739" spans="1:9" ht="33">
      <c r="A739" t="str">
        <f t="shared" ref="A739:A743" si="54">"284"</f>
        <v>284</v>
      </c>
      <c r="B739" t="s">
        <v>701</v>
      </c>
      <c r="C739" t="str">
        <f>"122870"</f>
        <v>122870</v>
      </c>
      <c r="D739" t="s">
        <v>702</v>
      </c>
      <c r="E739">
        <v>9160</v>
      </c>
      <c r="F739">
        <v>0</v>
      </c>
      <c r="G739">
        <v>0</v>
      </c>
      <c r="H739" s="1" t="s">
        <v>703</v>
      </c>
      <c r="I739" t="s">
        <v>322</v>
      </c>
    </row>
    <row r="740" spans="1:9" ht="33">
      <c r="A740" t="str">
        <f t="shared" si="54"/>
        <v>284</v>
      </c>
      <c r="B740" t="s">
        <v>701</v>
      </c>
      <c r="C740" t="str">
        <f>"173940"</f>
        <v>173940</v>
      </c>
      <c r="D740" t="s">
        <v>704</v>
      </c>
      <c r="E740">
        <v>829</v>
      </c>
      <c r="F740">
        <v>0</v>
      </c>
      <c r="G740">
        <v>0</v>
      </c>
      <c r="H740" s="1" t="s">
        <v>705</v>
      </c>
      <c r="I740" t="s">
        <v>322</v>
      </c>
    </row>
    <row r="741" spans="1:9" ht="49.5">
      <c r="A741" t="str">
        <f t="shared" si="54"/>
        <v>284</v>
      </c>
      <c r="B741" t="s">
        <v>701</v>
      </c>
      <c r="C741" t="str">
        <f>"041510"</f>
        <v>041510</v>
      </c>
      <c r="D741" t="s">
        <v>706</v>
      </c>
      <c r="E741">
        <v>17711</v>
      </c>
      <c r="F741">
        <v>0</v>
      </c>
      <c r="G741">
        <v>0</v>
      </c>
      <c r="H741" s="1" t="s">
        <v>707</v>
      </c>
      <c r="I741" t="s">
        <v>322</v>
      </c>
    </row>
    <row r="742" spans="1:9" ht="33">
      <c r="A742" t="str">
        <f t="shared" si="54"/>
        <v>284</v>
      </c>
      <c r="B742" t="s">
        <v>701</v>
      </c>
      <c r="C742" t="str">
        <f>"035900"</f>
        <v>035900</v>
      </c>
      <c r="D742" t="s">
        <v>708</v>
      </c>
      <c r="E742">
        <v>22931</v>
      </c>
      <c r="F742">
        <v>0</v>
      </c>
      <c r="G742">
        <v>0</v>
      </c>
      <c r="H742" s="1" t="s">
        <v>709</v>
      </c>
      <c r="I742" t="s">
        <v>322</v>
      </c>
    </row>
    <row r="743" spans="1:9" ht="33">
      <c r="A743" t="str">
        <f t="shared" si="54"/>
        <v>284</v>
      </c>
      <c r="B743" t="s">
        <v>701</v>
      </c>
      <c r="C743" t="str">
        <f>"182360"</f>
        <v>182360</v>
      </c>
      <c r="D743" t="s">
        <v>710</v>
      </c>
      <c r="E743">
        <v>2292</v>
      </c>
      <c r="F743">
        <v>0</v>
      </c>
      <c r="G743">
        <v>0</v>
      </c>
      <c r="H743" s="1" t="s">
        <v>711</v>
      </c>
      <c r="I743" t="s">
        <v>322</v>
      </c>
    </row>
    <row r="744" spans="1:9" ht="49.5">
      <c r="A744" t="str">
        <f>"284"</f>
        <v>284</v>
      </c>
      <c r="B744" t="s">
        <v>701</v>
      </c>
      <c r="C744" t="str">
        <f>"003560"</f>
        <v>003560</v>
      </c>
      <c r="D744" t="s">
        <v>585</v>
      </c>
      <c r="E744">
        <v>850</v>
      </c>
      <c r="F744">
        <v>0</v>
      </c>
      <c r="G744">
        <v>0</v>
      </c>
      <c r="H744" s="1" t="s">
        <v>586</v>
      </c>
      <c r="I744" t="s">
        <v>12</v>
      </c>
    </row>
    <row r="745" spans="1:9">
      <c r="A745" t="str">
        <f>"611"</f>
        <v>611</v>
      </c>
      <c r="B745" t="s">
        <v>712</v>
      </c>
      <c r="C745" t="str">
        <f>"004780"</f>
        <v>004780</v>
      </c>
      <c r="D745" t="s">
        <v>713</v>
      </c>
      <c r="E745">
        <v>689</v>
      </c>
      <c r="F745">
        <v>0</v>
      </c>
      <c r="G745">
        <v>0</v>
      </c>
    </row>
    <row r="746" spans="1:9">
      <c r="A746" t="str">
        <f>"611"</f>
        <v>611</v>
      </c>
      <c r="B746" t="s">
        <v>712</v>
      </c>
      <c r="C746" t="str">
        <f>"053620"</f>
        <v>053620</v>
      </c>
      <c r="D746" t="s">
        <v>714</v>
      </c>
      <c r="E746">
        <v>677</v>
      </c>
      <c r="F746">
        <v>0</v>
      </c>
      <c r="G746">
        <v>0</v>
      </c>
    </row>
    <row r="747" spans="1:9">
      <c r="A747" t="str">
        <f t="shared" ref="A747:A754" si="55">"215"</f>
        <v>215</v>
      </c>
      <c r="B747" t="s">
        <v>715</v>
      </c>
      <c r="C747" t="str">
        <f>"011760"</f>
        <v>011760</v>
      </c>
      <c r="D747" t="s">
        <v>716</v>
      </c>
      <c r="E747">
        <v>2110</v>
      </c>
      <c r="F747">
        <v>0</v>
      </c>
      <c r="G747">
        <v>0</v>
      </c>
    </row>
    <row r="748" spans="1:9">
      <c r="A748" t="str">
        <f t="shared" si="55"/>
        <v>215</v>
      </c>
      <c r="B748" t="s">
        <v>715</v>
      </c>
      <c r="C748" t="str">
        <f>"128820"</f>
        <v>128820</v>
      </c>
      <c r="D748" t="s">
        <v>717</v>
      </c>
      <c r="E748">
        <v>1753</v>
      </c>
      <c r="F748">
        <v>0</v>
      </c>
      <c r="G748">
        <v>0</v>
      </c>
    </row>
    <row r="749" spans="1:9">
      <c r="A749" t="str">
        <f t="shared" si="55"/>
        <v>215</v>
      </c>
      <c r="B749" t="s">
        <v>715</v>
      </c>
      <c r="C749" t="str">
        <f>"012170"</f>
        <v>012170</v>
      </c>
      <c r="D749" t="s">
        <v>718</v>
      </c>
      <c r="E749">
        <v>655</v>
      </c>
      <c r="F749">
        <v>0</v>
      </c>
      <c r="G749">
        <v>0</v>
      </c>
    </row>
    <row r="750" spans="1:9">
      <c r="A750" t="str">
        <f t="shared" si="55"/>
        <v>215</v>
      </c>
      <c r="B750" t="s">
        <v>715</v>
      </c>
      <c r="C750" t="str">
        <f>"001740"</f>
        <v>001740</v>
      </c>
      <c r="D750" t="s">
        <v>719</v>
      </c>
      <c r="E750">
        <v>9369</v>
      </c>
      <c r="F750">
        <v>0</v>
      </c>
      <c r="G750">
        <v>0</v>
      </c>
    </row>
    <row r="751" spans="1:9" ht="82.5">
      <c r="A751" t="str">
        <f t="shared" si="55"/>
        <v>215</v>
      </c>
      <c r="B751" t="s">
        <v>715</v>
      </c>
      <c r="C751" t="str">
        <f>"096770"</f>
        <v>096770</v>
      </c>
      <c r="D751" t="s">
        <v>720</v>
      </c>
      <c r="E751">
        <v>136849</v>
      </c>
      <c r="F751">
        <v>0</v>
      </c>
      <c r="G751">
        <v>0</v>
      </c>
      <c r="H751" s="1" t="s">
        <v>721</v>
      </c>
      <c r="I751" t="s">
        <v>12</v>
      </c>
    </row>
    <row r="752" spans="1:9">
      <c r="A752" t="str">
        <f t="shared" si="55"/>
        <v>215</v>
      </c>
      <c r="B752" t="s">
        <v>715</v>
      </c>
      <c r="C752" t="str">
        <f>"001120"</f>
        <v>001120</v>
      </c>
      <c r="D752" t="s">
        <v>722</v>
      </c>
      <c r="E752">
        <v>12306</v>
      </c>
      <c r="F752">
        <v>0</v>
      </c>
      <c r="G752">
        <v>0</v>
      </c>
    </row>
    <row r="753" spans="1:7">
      <c r="A753" t="str">
        <f t="shared" si="55"/>
        <v>215</v>
      </c>
      <c r="B753" t="s">
        <v>715</v>
      </c>
      <c r="C753" t="str">
        <f>"047050"</f>
        <v>047050</v>
      </c>
      <c r="D753" t="s">
        <v>646</v>
      </c>
      <c r="E753">
        <v>25909</v>
      </c>
      <c r="F753">
        <v>0</v>
      </c>
      <c r="G753">
        <v>0</v>
      </c>
    </row>
    <row r="754" spans="1:7">
      <c r="A754" t="str">
        <f t="shared" si="55"/>
        <v>215</v>
      </c>
      <c r="B754" t="s">
        <v>715</v>
      </c>
      <c r="C754" t="str">
        <f>"036460"</f>
        <v>036460</v>
      </c>
      <c r="D754" t="s">
        <v>723</v>
      </c>
      <c r="E754">
        <v>29079</v>
      </c>
      <c r="F754">
        <v>0</v>
      </c>
      <c r="G754">
        <v>0</v>
      </c>
    </row>
    <row r="755" spans="1:7">
      <c r="A755" t="str">
        <f>"244"</f>
        <v>244</v>
      </c>
      <c r="B755" t="s">
        <v>724</v>
      </c>
      <c r="C755" t="str">
        <f>"073240"</f>
        <v>073240</v>
      </c>
      <c r="D755" t="s">
        <v>725</v>
      </c>
      <c r="E755">
        <v>7928</v>
      </c>
      <c r="F755">
        <v>0</v>
      </c>
      <c r="G755">
        <v>0</v>
      </c>
    </row>
    <row r="756" spans="1:7">
      <c r="A756" t="str">
        <f>"244"</f>
        <v>244</v>
      </c>
      <c r="B756" t="s">
        <v>724</v>
      </c>
      <c r="C756" t="str">
        <f>"161390"</f>
        <v>161390</v>
      </c>
      <c r="D756" t="s">
        <v>726</v>
      </c>
      <c r="E756">
        <v>38154</v>
      </c>
      <c r="F756">
        <v>0</v>
      </c>
      <c r="G756">
        <v>0</v>
      </c>
    </row>
    <row r="757" spans="1:7">
      <c r="A757" t="str">
        <f>"244"</f>
        <v>244</v>
      </c>
      <c r="B757" t="s">
        <v>724</v>
      </c>
      <c r="C757" t="str">
        <f>"002350"</f>
        <v>002350</v>
      </c>
      <c r="D757" t="s">
        <v>727</v>
      </c>
      <c r="E757">
        <v>6046</v>
      </c>
      <c r="F757">
        <v>0</v>
      </c>
      <c r="G757">
        <v>0</v>
      </c>
    </row>
    <row r="758" spans="1:7">
      <c r="A758" t="str">
        <f>"244"</f>
        <v>244</v>
      </c>
      <c r="B758" t="s">
        <v>724</v>
      </c>
      <c r="C758" t="str">
        <f>"007340"</f>
        <v>007340</v>
      </c>
      <c r="D758" t="s">
        <v>728</v>
      </c>
      <c r="E758">
        <v>6286</v>
      </c>
      <c r="F758">
        <v>0</v>
      </c>
      <c r="G758">
        <v>0</v>
      </c>
    </row>
    <row r="759" spans="1:7">
      <c r="A759" t="str">
        <f>"291"</f>
        <v>291</v>
      </c>
      <c r="B759" t="s">
        <v>729</v>
      </c>
      <c r="C759" t="str">
        <f>"057050"</f>
        <v>057050</v>
      </c>
      <c r="D759" t="s">
        <v>730</v>
      </c>
      <c r="E759">
        <v>6300</v>
      </c>
      <c r="F759">
        <v>0</v>
      </c>
      <c r="G759">
        <v>0</v>
      </c>
    </row>
    <row r="760" spans="1:7">
      <c r="A760" t="str">
        <f>"291"</f>
        <v>291</v>
      </c>
      <c r="B760" t="s">
        <v>729</v>
      </c>
      <c r="C760" t="str">
        <f>"035760"</f>
        <v>035760</v>
      </c>
      <c r="D760" t="s">
        <v>731</v>
      </c>
      <c r="E760">
        <v>22105</v>
      </c>
      <c r="F760">
        <v>0</v>
      </c>
      <c r="G760">
        <v>0</v>
      </c>
    </row>
    <row r="761" spans="1:7">
      <c r="A761" t="str">
        <f>"319"</f>
        <v>319</v>
      </c>
      <c r="B761" t="s">
        <v>732</v>
      </c>
      <c r="C761" t="str">
        <f>"049960"</f>
        <v>049960</v>
      </c>
      <c r="D761" t="s">
        <v>733</v>
      </c>
      <c r="E761">
        <v>1208</v>
      </c>
      <c r="F761">
        <v>0</v>
      </c>
      <c r="G761">
        <v>0</v>
      </c>
    </row>
    <row r="762" spans="1:7">
      <c r="A762" t="str">
        <f>"319"</f>
        <v>319</v>
      </c>
      <c r="B762" t="s">
        <v>732</v>
      </c>
      <c r="C762" t="str">
        <f>"065170"</f>
        <v>065170</v>
      </c>
      <c r="D762" t="s">
        <v>734</v>
      </c>
      <c r="E762">
        <v>549</v>
      </c>
      <c r="F762">
        <v>0</v>
      </c>
      <c r="G762">
        <v>0</v>
      </c>
    </row>
    <row r="763" spans="1:7">
      <c r="A763" t="str">
        <f>"319"</f>
        <v>319</v>
      </c>
      <c r="B763" t="s">
        <v>732</v>
      </c>
      <c r="C763" t="str">
        <f>"001680"</f>
        <v>001680</v>
      </c>
      <c r="D763" t="s">
        <v>498</v>
      </c>
      <c r="E763">
        <v>7259</v>
      </c>
      <c r="F763">
        <v>0</v>
      </c>
      <c r="G763">
        <v>0</v>
      </c>
    </row>
    <row r="764" spans="1:7">
      <c r="A764" t="str">
        <f>"319"</f>
        <v>319</v>
      </c>
      <c r="B764" t="s">
        <v>732</v>
      </c>
      <c r="C764" t="str">
        <f>"049770"</f>
        <v>049770</v>
      </c>
      <c r="D764" t="s">
        <v>735</v>
      </c>
      <c r="E764">
        <v>5904</v>
      </c>
      <c r="F764">
        <v>0</v>
      </c>
      <c r="G764">
        <v>0</v>
      </c>
    </row>
    <row r="765" spans="1:7">
      <c r="A765" t="str">
        <f>"319"</f>
        <v>319</v>
      </c>
      <c r="B765" t="s">
        <v>732</v>
      </c>
      <c r="C765" t="str">
        <f>"008490"</f>
        <v>008490</v>
      </c>
      <c r="D765" t="s">
        <v>736</v>
      </c>
      <c r="E765">
        <v>3737</v>
      </c>
      <c r="F765">
        <v>0</v>
      </c>
      <c r="G765">
        <v>0</v>
      </c>
    </row>
    <row r="766" spans="1:7">
      <c r="A766" t="str">
        <f t="shared" ref="A766:A772" si="56">"300"</f>
        <v>300</v>
      </c>
      <c r="B766" t="s">
        <v>737</v>
      </c>
      <c r="C766" t="str">
        <f>"005300"</f>
        <v>005300</v>
      </c>
      <c r="D766" t="s">
        <v>738</v>
      </c>
      <c r="E766">
        <v>15542</v>
      </c>
      <c r="F766">
        <v>0</v>
      </c>
      <c r="G766">
        <v>0</v>
      </c>
    </row>
    <row r="767" spans="1:7">
      <c r="A767" t="str">
        <f t="shared" si="56"/>
        <v>300</v>
      </c>
      <c r="B767" t="s">
        <v>737</v>
      </c>
      <c r="C767" t="str">
        <f>"033920"</f>
        <v>033920</v>
      </c>
      <c r="D767" t="s">
        <v>739</v>
      </c>
      <c r="E767">
        <v>1338</v>
      </c>
      <c r="F767">
        <v>0</v>
      </c>
      <c r="G767">
        <v>0</v>
      </c>
    </row>
    <row r="768" spans="1:7">
      <c r="A768" t="str">
        <f t="shared" si="56"/>
        <v>300</v>
      </c>
      <c r="B768" t="s">
        <v>737</v>
      </c>
      <c r="C768" t="str">
        <f>"000080"</f>
        <v>000080</v>
      </c>
      <c r="D768" t="s">
        <v>740</v>
      </c>
      <c r="E768">
        <v>16902</v>
      </c>
      <c r="F768">
        <v>0</v>
      </c>
      <c r="G768">
        <v>0</v>
      </c>
    </row>
    <row r="769" spans="1:9">
      <c r="A769" t="str">
        <f t="shared" si="56"/>
        <v>300</v>
      </c>
      <c r="B769" t="s">
        <v>737</v>
      </c>
      <c r="C769" t="str">
        <f>"023900"</f>
        <v>023900</v>
      </c>
      <c r="D769" t="s">
        <v>741</v>
      </c>
      <c r="E769">
        <v>1499</v>
      </c>
      <c r="F769">
        <v>0</v>
      </c>
      <c r="G769">
        <v>0</v>
      </c>
    </row>
    <row r="770" spans="1:9">
      <c r="A770" t="str">
        <f t="shared" si="56"/>
        <v>300</v>
      </c>
      <c r="B770" t="s">
        <v>737</v>
      </c>
      <c r="C770" t="str">
        <f>"017890"</f>
        <v>017890</v>
      </c>
      <c r="D770" t="s">
        <v>742</v>
      </c>
      <c r="E770">
        <v>2139</v>
      </c>
      <c r="F770">
        <v>0</v>
      </c>
      <c r="G770">
        <v>0</v>
      </c>
    </row>
    <row r="771" spans="1:9">
      <c r="A771" t="str">
        <f t="shared" si="56"/>
        <v>300</v>
      </c>
      <c r="B771" t="s">
        <v>737</v>
      </c>
      <c r="C771" t="str">
        <f>"018120"</f>
        <v>018120</v>
      </c>
      <c r="D771" t="s">
        <v>743</v>
      </c>
      <c r="E771">
        <v>1351</v>
      </c>
      <c r="F771">
        <v>0</v>
      </c>
      <c r="G771">
        <v>0</v>
      </c>
    </row>
    <row r="772" spans="1:9">
      <c r="A772" t="str">
        <f t="shared" si="56"/>
        <v>300</v>
      </c>
      <c r="B772" t="s">
        <v>737</v>
      </c>
      <c r="C772" t="str">
        <f>"043650"</f>
        <v>043650</v>
      </c>
      <c r="D772" t="s">
        <v>744</v>
      </c>
      <c r="E772">
        <v>1180</v>
      </c>
      <c r="F772">
        <v>0</v>
      </c>
      <c r="G772">
        <v>0</v>
      </c>
    </row>
    <row r="773" spans="1:9">
      <c r="A773" t="str">
        <f t="shared" ref="A773:A781" si="57">"151"</f>
        <v>151</v>
      </c>
      <c r="B773" t="s">
        <v>745</v>
      </c>
      <c r="C773" t="str">
        <f>"011170"</f>
        <v>011170</v>
      </c>
      <c r="D773" t="s">
        <v>746</v>
      </c>
      <c r="E773">
        <v>59468</v>
      </c>
      <c r="F773">
        <v>0</v>
      </c>
      <c r="G773">
        <v>0</v>
      </c>
    </row>
    <row r="774" spans="1:9">
      <c r="A774" t="str">
        <f t="shared" si="57"/>
        <v>151</v>
      </c>
      <c r="B774" t="s">
        <v>745</v>
      </c>
      <c r="C774" t="str">
        <f>"006380"</f>
        <v>006380</v>
      </c>
      <c r="D774" t="s">
        <v>747</v>
      </c>
      <c r="E774">
        <v>780</v>
      </c>
      <c r="F774">
        <v>0</v>
      </c>
      <c r="G774">
        <v>0</v>
      </c>
    </row>
    <row r="775" spans="1:9">
      <c r="A775" t="str">
        <f t="shared" si="57"/>
        <v>151</v>
      </c>
      <c r="B775" t="s">
        <v>745</v>
      </c>
      <c r="C775" t="str">
        <f>"078930"</f>
        <v>078930</v>
      </c>
      <c r="D775" t="s">
        <v>659</v>
      </c>
      <c r="E775">
        <v>38839</v>
      </c>
      <c r="F775">
        <v>0</v>
      </c>
      <c r="G775">
        <v>0</v>
      </c>
    </row>
    <row r="776" spans="1:9">
      <c r="A776" t="str">
        <f t="shared" si="57"/>
        <v>151</v>
      </c>
      <c r="B776" t="s">
        <v>745</v>
      </c>
      <c r="C776" t="str">
        <f>"004800"</f>
        <v>004800</v>
      </c>
      <c r="D776" t="s">
        <v>748</v>
      </c>
      <c r="E776">
        <v>13717</v>
      </c>
      <c r="F776">
        <v>0</v>
      </c>
      <c r="G776">
        <v>0</v>
      </c>
    </row>
    <row r="777" spans="1:9">
      <c r="A777" t="str">
        <f t="shared" si="57"/>
        <v>151</v>
      </c>
      <c r="B777" t="s">
        <v>745</v>
      </c>
      <c r="C777" t="str">
        <f>"003240"</f>
        <v>003240</v>
      </c>
      <c r="D777" t="s">
        <v>336</v>
      </c>
      <c r="E777">
        <v>7972</v>
      </c>
      <c r="F777">
        <v>0</v>
      </c>
      <c r="G777">
        <v>0</v>
      </c>
    </row>
    <row r="778" spans="1:9">
      <c r="A778" t="str">
        <f t="shared" si="57"/>
        <v>151</v>
      </c>
      <c r="B778" t="s">
        <v>745</v>
      </c>
      <c r="C778" t="str">
        <f>"079980"</f>
        <v>079980</v>
      </c>
      <c r="D778" t="s">
        <v>749</v>
      </c>
      <c r="E778">
        <v>1656</v>
      </c>
      <c r="F778">
        <v>0</v>
      </c>
      <c r="G778">
        <v>0</v>
      </c>
    </row>
    <row r="779" spans="1:9" ht="33">
      <c r="A779" t="str">
        <f t="shared" si="57"/>
        <v>151</v>
      </c>
      <c r="B779" t="s">
        <v>745</v>
      </c>
      <c r="C779" t="str">
        <f>"096770"</f>
        <v>096770</v>
      </c>
      <c r="D779" t="s">
        <v>720</v>
      </c>
      <c r="E779">
        <v>136849</v>
      </c>
      <c r="F779">
        <v>0</v>
      </c>
      <c r="G779">
        <v>0</v>
      </c>
      <c r="H779" s="1" t="s">
        <v>750</v>
      </c>
      <c r="I779" t="s">
        <v>12</v>
      </c>
    </row>
    <row r="780" spans="1:9">
      <c r="A780" t="str">
        <f t="shared" si="57"/>
        <v>151</v>
      </c>
      <c r="B780" t="s">
        <v>745</v>
      </c>
      <c r="C780" t="str">
        <f>"104480"</f>
        <v>104480</v>
      </c>
      <c r="D780" t="s">
        <v>751</v>
      </c>
      <c r="E780">
        <v>2563</v>
      </c>
      <c r="F780">
        <v>0</v>
      </c>
      <c r="G780">
        <v>0</v>
      </c>
    </row>
    <row r="781" spans="1:9">
      <c r="A781" t="str">
        <f t="shared" si="57"/>
        <v>151</v>
      </c>
      <c r="B781" t="s">
        <v>745</v>
      </c>
      <c r="C781" t="str">
        <f>"010950"</f>
        <v>010950</v>
      </c>
      <c r="D781" t="s">
        <v>752</v>
      </c>
      <c r="E781">
        <v>87364</v>
      </c>
      <c r="F781">
        <v>0</v>
      </c>
      <c r="G781">
        <v>0</v>
      </c>
    </row>
    <row r="782" spans="1:9">
      <c r="A782" t="str">
        <f>"315"</f>
        <v>315</v>
      </c>
      <c r="B782" t="s">
        <v>753</v>
      </c>
      <c r="C782" t="str">
        <f>"004990"</f>
        <v>004990</v>
      </c>
      <c r="D782" t="s">
        <v>524</v>
      </c>
      <c r="E782">
        <v>31525</v>
      </c>
      <c r="F782">
        <v>0</v>
      </c>
      <c r="G782">
        <v>0</v>
      </c>
    </row>
    <row r="783" spans="1:9">
      <c r="A783" t="str">
        <f>"315"</f>
        <v>315</v>
      </c>
      <c r="B783" t="s">
        <v>753</v>
      </c>
      <c r="C783" t="str">
        <f>"005180"</f>
        <v>005180</v>
      </c>
      <c r="D783" t="s">
        <v>754</v>
      </c>
      <c r="E783">
        <v>3822</v>
      </c>
      <c r="F783">
        <v>0</v>
      </c>
      <c r="G783">
        <v>0</v>
      </c>
    </row>
    <row r="784" spans="1:9">
      <c r="A784" t="str">
        <f t="shared" ref="A784:A789" si="58">"240"</f>
        <v>240</v>
      </c>
      <c r="B784" t="s">
        <v>755</v>
      </c>
      <c r="C784" t="str">
        <f>"126600"</f>
        <v>126600</v>
      </c>
      <c r="D784" t="s">
        <v>426</v>
      </c>
      <c r="E784">
        <v>1431</v>
      </c>
      <c r="F784">
        <v>0</v>
      </c>
      <c r="G784">
        <v>0</v>
      </c>
    </row>
    <row r="785" spans="1:7">
      <c r="A785" t="str">
        <f t="shared" si="58"/>
        <v>240</v>
      </c>
      <c r="B785" t="s">
        <v>755</v>
      </c>
      <c r="C785" t="str">
        <f>"038110"</f>
        <v>038110</v>
      </c>
      <c r="D785" t="s">
        <v>756</v>
      </c>
      <c r="E785">
        <v>912</v>
      </c>
      <c r="F785">
        <v>0</v>
      </c>
      <c r="G785">
        <v>0</v>
      </c>
    </row>
    <row r="786" spans="1:7">
      <c r="A786" t="str">
        <f t="shared" si="58"/>
        <v>240</v>
      </c>
      <c r="B786" t="s">
        <v>755</v>
      </c>
      <c r="C786" t="str">
        <f>"089470"</f>
        <v>089470</v>
      </c>
      <c r="D786" t="s">
        <v>427</v>
      </c>
      <c r="E786">
        <v>1238</v>
      </c>
      <c r="F786">
        <v>0</v>
      </c>
      <c r="G786">
        <v>0</v>
      </c>
    </row>
    <row r="787" spans="1:7">
      <c r="A787" t="str">
        <f t="shared" si="58"/>
        <v>240</v>
      </c>
      <c r="B787" t="s">
        <v>755</v>
      </c>
      <c r="C787" t="str">
        <f>"010690"</f>
        <v>010690</v>
      </c>
      <c r="D787" t="s">
        <v>757</v>
      </c>
      <c r="E787">
        <v>2560</v>
      </c>
      <c r="F787">
        <v>0</v>
      </c>
      <c r="G787">
        <v>0</v>
      </c>
    </row>
    <row r="788" spans="1:7">
      <c r="A788" t="str">
        <f t="shared" si="58"/>
        <v>240</v>
      </c>
      <c r="B788" t="s">
        <v>755</v>
      </c>
      <c r="C788" t="str">
        <f>"015750"</f>
        <v>015750</v>
      </c>
      <c r="D788" t="s">
        <v>758</v>
      </c>
      <c r="E788">
        <v>3808</v>
      </c>
      <c r="F788">
        <v>0</v>
      </c>
      <c r="G788">
        <v>0</v>
      </c>
    </row>
    <row r="789" spans="1:7">
      <c r="A789" t="str">
        <f t="shared" si="58"/>
        <v>240</v>
      </c>
      <c r="B789" t="s">
        <v>755</v>
      </c>
      <c r="C789" t="str">
        <f>"018500"</f>
        <v>018500</v>
      </c>
      <c r="D789" t="s">
        <v>759</v>
      </c>
      <c r="E789">
        <v>456</v>
      </c>
      <c r="F789">
        <v>0</v>
      </c>
      <c r="G789">
        <v>0</v>
      </c>
    </row>
    <row r="790" spans="1:7">
      <c r="A790" t="str">
        <f>"222"</f>
        <v>222</v>
      </c>
      <c r="B790" t="s">
        <v>760</v>
      </c>
      <c r="C790" t="str">
        <f>"009540"</f>
        <v>009540</v>
      </c>
      <c r="D790" t="s">
        <v>270</v>
      </c>
      <c r="E790">
        <v>51947</v>
      </c>
      <c r="F790">
        <v>0</v>
      </c>
      <c r="G790">
        <v>0</v>
      </c>
    </row>
    <row r="791" spans="1:7">
      <c r="A791" t="str">
        <f>"222"</f>
        <v>222</v>
      </c>
      <c r="B791" t="s">
        <v>760</v>
      </c>
      <c r="C791" t="str">
        <f>"042660"</f>
        <v>042660</v>
      </c>
      <c r="D791" t="s">
        <v>761</v>
      </c>
      <c r="E791">
        <v>19205</v>
      </c>
      <c r="F791">
        <v>0</v>
      </c>
      <c r="G791">
        <v>0</v>
      </c>
    </row>
    <row r="792" spans="1:7">
      <c r="A792" t="str">
        <f>"222"</f>
        <v>222</v>
      </c>
      <c r="B792" t="s">
        <v>760</v>
      </c>
      <c r="C792" t="str">
        <f>"010140"</f>
        <v>010140</v>
      </c>
      <c r="D792" t="s">
        <v>762</v>
      </c>
      <c r="E792">
        <v>43428</v>
      </c>
      <c r="F792">
        <v>0</v>
      </c>
      <c r="G792">
        <v>0</v>
      </c>
    </row>
    <row r="793" spans="1:7">
      <c r="A793" t="str">
        <f>"222"</f>
        <v>222</v>
      </c>
      <c r="B793" t="s">
        <v>760</v>
      </c>
      <c r="C793" t="str">
        <f>"082740"</f>
        <v>082740</v>
      </c>
      <c r="D793" t="s">
        <v>763</v>
      </c>
      <c r="E793">
        <v>4922</v>
      </c>
      <c r="F793">
        <v>0</v>
      </c>
      <c r="G793">
        <v>0</v>
      </c>
    </row>
    <row r="794" spans="1:7">
      <c r="A794" t="str">
        <f>"364"</f>
        <v>364</v>
      </c>
      <c r="B794" t="s">
        <v>764</v>
      </c>
      <c r="C794" t="str">
        <f>"000640"</f>
        <v>000640</v>
      </c>
      <c r="D794" t="s">
        <v>677</v>
      </c>
      <c r="E794">
        <v>6304</v>
      </c>
      <c r="F794">
        <v>0</v>
      </c>
      <c r="G794">
        <v>0</v>
      </c>
    </row>
    <row r="795" spans="1:7">
      <c r="A795" t="str">
        <f>"364"</f>
        <v>364</v>
      </c>
      <c r="B795" t="s">
        <v>764</v>
      </c>
      <c r="C795" t="str">
        <f>"048530"</f>
        <v>048530</v>
      </c>
      <c r="D795" t="s">
        <v>765</v>
      </c>
      <c r="E795">
        <v>2729</v>
      </c>
      <c r="F795">
        <v>0</v>
      </c>
      <c r="G795">
        <v>0</v>
      </c>
    </row>
    <row r="796" spans="1:7">
      <c r="A796" t="str">
        <f t="shared" ref="A796:A803" si="59">"171"</f>
        <v>171</v>
      </c>
      <c r="B796" t="s">
        <v>766</v>
      </c>
      <c r="C796" t="str">
        <f>"008350"</f>
        <v>008350</v>
      </c>
      <c r="D796" t="s">
        <v>767</v>
      </c>
      <c r="E796">
        <v>2640</v>
      </c>
      <c r="F796">
        <v>0</v>
      </c>
      <c r="G796">
        <v>0</v>
      </c>
    </row>
    <row r="797" spans="1:7">
      <c r="A797" t="str">
        <f t="shared" si="59"/>
        <v>171</v>
      </c>
      <c r="B797" t="s">
        <v>766</v>
      </c>
      <c r="C797" t="str">
        <f>"010130"</f>
        <v>010130</v>
      </c>
      <c r="D797" t="s">
        <v>768</v>
      </c>
      <c r="E797">
        <v>102891</v>
      </c>
      <c r="F797">
        <v>0</v>
      </c>
      <c r="G797">
        <v>0</v>
      </c>
    </row>
    <row r="798" spans="1:7">
      <c r="A798" t="str">
        <f t="shared" si="59"/>
        <v>171</v>
      </c>
      <c r="B798" t="s">
        <v>766</v>
      </c>
      <c r="C798" t="str">
        <f>"012800"</f>
        <v>012800</v>
      </c>
      <c r="D798" t="s">
        <v>769</v>
      </c>
      <c r="E798">
        <v>1062</v>
      </c>
      <c r="F798">
        <v>0</v>
      </c>
      <c r="G798">
        <v>0</v>
      </c>
    </row>
    <row r="799" spans="1:7">
      <c r="A799" t="str">
        <f t="shared" si="59"/>
        <v>171</v>
      </c>
      <c r="B799" t="s">
        <v>766</v>
      </c>
      <c r="C799" t="str">
        <f>"021050"</f>
        <v>021050</v>
      </c>
      <c r="D799" t="s">
        <v>770</v>
      </c>
      <c r="E799">
        <v>551</v>
      </c>
      <c r="F799">
        <v>0</v>
      </c>
      <c r="G799">
        <v>0</v>
      </c>
    </row>
    <row r="800" spans="1:7">
      <c r="A800" t="str">
        <f t="shared" si="59"/>
        <v>171</v>
      </c>
      <c r="B800" t="s">
        <v>766</v>
      </c>
      <c r="C800" t="str">
        <f>"025820"</f>
        <v>025820</v>
      </c>
      <c r="D800" t="s">
        <v>771</v>
      </c>
      <c r="E800">
        <v>956</v>
      </c>
      <c r="F800">
        <v>0</v>
      </c>
      <c r="G800">
        <v>0</v>
      </c>
    </row>
    <row r="801" spans="1:7">
      <c r="A801" t="str">
        <f t="shared" si="59"/>
        <v>171</v>
      </c>
      <c r="B801" t="s">
        <v>766</v>
      </c>
      <c r="C801" t="str">
        <f>"000670"</f>
        <v>000670</v>
      </c>
      <c r="D801" t="s">
        <v>772</v>
      </c>
      <c r="E801">
        <v>11236</v>
      </c>
      <c r="F801">
        <v>0</v>
      </c>
      <c r="G801">
        <v>0</v>
      </c>
    </row>
    <row r="802" spans="1:7">
      <c r="A802" t="str">
        <f t="shared" si="59"/>
        <v>171</v>
      </c>
      <c r="B802" t="s">
        <v>766</v>
      </c>
      <c r="C802" t="str">
        <f>"103140"</f>
        <v>103140</v>
      </c>
      <c r="D802" t="s">
        <v>773</v>
      </c>
      <c r="E802">
        <v>8772</v>
      </c>
      <c r="F802">
        <v>0</v>
      </c>
      <c r="G802">
        <v>0</v>
      </c>
    </row>
    <row r="803" spans="1:7">
      <c r="A803" t="str">
        <f t="shared" si="59"/>
        <v>171</v>
      </c>
      <c r="B803" t="s">
        <v>766</v>
      </c>
      <c r="C803" t="str">
        <f>"009520"</f>
        <v>009520</v>
      </c>
      <c r="D803" t="s">
        <v>774</v>
      </c>
      <c r="E803">
        <v>3140</v>
      </c>
      <c r="F803">
        <v>0</v>
      </c>
      <c r="G803">
        <v>0</v>
      </c>
    </row>
    <row r="804" spans="1:7">
      <c r="A804" t="str">
        <f t="shared" ref="A804:A810" si="60">"110"</f>
        <v>110</v>
      </c>
      <c r="B804" t="s">
        <v>775</v>
      </c>
      <c r="C804" t="str">
        <f>"100840"</f>
        <v>100840</v>
      </c>
      <c r="D804" t="s">
        <v>194</v>
      </c>
      <c r="E804">
        <v>1430</v>
      </c>
      <c r="F804">
        <v>0</v>
      </c>
      <c r="G804">
        <v>0</v>
      </c>
    </row>
    <row r="805" spans="1:7">
      <c r="A805" t="str">
        <f t="shared" si="60"/>
        <v>110</v>
      </c>
      <c r="B805" t="s">
        <v>775</v>
      </c>
      <c r="C805" t="str">
        <f>"044490"</f>
        <v>044490</v>
      </c>
      <c r="D805" t="s">
        <v>541</v>
      </c>
      <c r="E805">
        <v>1927</v>
      </c>
      <c r="F805">
        <v>0</v>
      </c>
      <c r="G805">
        <v>0</v>
      </c>
    </row>
    <row r="806" spans="1:7">
      <c r="A806" t="str">
        <f t="shared" si="60"/>
        <v>110</v>
      </c>
      <c r="B806" t="s">
        <v>775</v>
      </c>
      <c r="C806" t="str">
        <f>"083650"</f>
        <v>083650</v>
      </c>
      <c r="D806" t="s">
        <v>195</v>
      </c>
      <c r="E806">
        <v>1625</v>
      </c>
      <c r="F806">
        <v>0</v>
      </c>
      <c r="G806">
        <v>0</v>
      </c>
    </row>
    <row r="807" spans="1:7">
      <c r="A807" t="str">
        <f t="shared" si="60"/>
        <v>110</v>
      </c>
      <c r="B807" t="s">
        <v>775</v>
      </c>
      <c r="C807" t="str">
        <f>"014620"</f>
        <v>014620</v>
      </c>
      <c r="D807" t="s">
        <v>233</v>
      </c>
      <c r="E807">
        <v>3561</v>
      </c>
      <c r="F807">
        <v>0</v>
      </c>
      <c r="G807">
        <v>0</v>
      </c>
    </row>
    <row r="808" spans="1:7">
      <c r="A808" t="str">
        <f t="shared" si="60"/>
        <v>110</v>
      </c>
      <c r="B808" t="s">
        <v>775</v>
      </c>
      <c r="C808" t="str">
        <f>"034020"</f>
        <v>034020</v>
      </c>
      <c r="D808" t="s">
        <v>776</v>
      </c>
      <c r="E808">
        <v>96704</v>
      </c>
      <c r="F808">
        <v>0</v>
      </c>
      <c r="G808">
        <v>0</v>
      </c>
    </row>
    <row r="809" spans="1:7">
      <c r="A809" t="str">
        <f t="shared" si="60"/>
        <v>110</v>
      </c>
      <c r="B809" t="s">
        <v>775</v>
      </c>
      <c r="C809" t="str">
        <f>"013030"</f>
        <v>013030</v>
      </c>
      <c r="D809" t="s">
        <v>777</v>
      </c>
      <c r="E809">
        <v>2655</v>
      </c>
      <c r="F809">
        <v>0</v>
      </c>
      <c r="G809">
        <v>0</v>
      </c>
    </row>
    <row r="810" spans="1:7">
      <c r="A810" t="str">
        <f t="shared" si="60"/>
        <v>110</v>
      </c>
      <c r="B810" t="s">
        <v>775</v>
      </c>
      <c r="C810" t="str">
        <f>"023160"</f>
        <v>023160</v>
      </c>
      <c r="D810" t="s">
        <v>778</v>
      </c>
      <c r="E810">
        <v>3896</v>
      </c>
      <c r="F810">
        <v>0</v>
      </c>
      <c r="G810">
        <v>0</v>
      </c>
    </row>
    <row r="811" spans="1:7">
      <c r="A811" t="str">
        <f>"459"</f>
        <v>459</v>
      </c>
      <c r="B811" t="s">
        <v>779</v>
      </c>
      <c r="C811" t="str">
        <f>"089850"</f>
        <v>089850</v>
      </c>
      <c r="D811" t="s">
        <v>79</v>
      </c>
      <c r="E811">
        <v>815</v>
      </c>
      <c r="F811">
        <v>0</v>
      </c>
      <c r="G811">
        <v>0</v>
      </c>
    </row>
    <row r="812" spans="1:7">
      <c r="A812" t="str">
        <f>"459"</f>
        <v>459</v>
      </c>
      <c r="B812" t="s">
        <v>779</v>
      </c>
      <c r="C812" t="str">
        <f>"084730"</f>
        <v>084730</v>
      </c>
      <c r="D812" t="s">
        <v>178</v>
      </c>
      <c r="E812">
        <v>1366</v>
      </c>
      <c r="F812">
        <v>0</v>
      </c>
      <c r="G812">
        <v>0</v>
      </c>
    </row>
    <row r="813" spans="1:7">
      <c r="A813" t="str">
        <f>"459"</f>
        <v>459</v>
      </c>
      <c r="B813" t="s">
        <v>779</v>
      </c>
      <c r="C813" t="str">
        <f>"038950"</f>
        <v>038950</v>
      </c>
      <c r="D813" t="s">
        <v>179</v>
      </c>
      <c r="E813">
        <v>462</v>
      </c>
      <c r="F813">
        <v>0</v>
      </c>
      <c r="G813">
        <v>0</v>
      </c>
    </row>
    <row r="814" spans="1:7">
      <c r="A814" t="str">
        <f>"459"</f>
        <v>459</v>
      </c>
      <c r="B814" t="s">
        <v>779</v>
      </c>
      <c r="C814" t="str">
        <f>"086960"</f>
        <v>086960</v>
      </c>
      <c r="D814" t="s">
        <v>630</v>
      </c>
      <c r="E814">
        <v>1592</v>
      </c>
      <c r="F814">
        <v>0</v>
      </c>
      <c r="G814">
        <v>0</v>
      </c>
    </row>
    <row r="815" spans="1:7">
      <c r="A815" t="str">
        <f t="shared" ref="A815:A824" si="61">"212"</f>
        <v>212</v>
      </c>
      <c r="B815" t="s">
        <v>780</v>
      </c>
      <c r="C815" t="str">
        <f>"003570"</f>
        <v>003570</v>
      </c>
      <c r="D815" t="s">
        <v>781</v>
      </c>
      <c r="E815">
        <v>2943</v>
      </c>
      <c r="F815">
        <v>0</v>
      </c>
      <c r="G815">
        <v>0</v>
      </c>
    </row>
    <row r="816" spans="1:7">
      <c r="A816" t="str">
        <f t="shared" si="61"/>
        <v>212</v>
      </c>
      <c r="B816" t="s">
        <v>780</v>
      </c>
      <c r="C816" t="str">
        <f>"065450"</f>
        <v>065450</v>
      </c>
      <c r="D816" t="s">
        <v>782</v>
      </c>
      <c r="E816">
        <v>1653</v>
      </c>
      <c r="F816">
        <v>0</v>
      </c>
      <c r="G816">
        <v>0</v>
      </c>
    </row>
    <row r="817" spans="1:7">
      <c r="A817" t="str">
        <f t="shared" si="61"/>
        <v>212</v>
      </c>
      <c r="B817" t="s">
        <v>780</v>
      </c>
      <c r="C817" t="str">
        <f>"095190"</f>
        <v>095190</v>
      </c>
      <c r="D817" t="s">
        <v>324</v>
      </c>
      <c r="E817">
        <v>1290</v>
      </c>
      <c r="F817">
        <v>0</v>
      </c>
      <c r="G817">
        <v>0</v>
      </c>
    </row>
    <row r="818" spans="1:7">
      <c r="A818" t="str">
        <f t="shared" si="61"/>
        <v>212</v>
      </c>
      <c r="B818" t="s">
        <v>780</v>
      </c>
      <c r="C818" t="str">
        <f>"108380"</f>
        <v>108380</v>
      </c>
      <c r="D818" t="s">
        <v>783</v>
      </c>
      <c r="E818">
        <v>1119</v>
      </c>
      <c r="F818">
        <v>0</v>
      </c>
      <c r="G818">
        <v>0</v>
      </c>
    </row>
    <row r="819" spans="1:7">
      <c r="A819" t="str">
        <f t="shared" si="61"/>
        <v>212</v>
      </c>
      <c r="B819" t="s">
        <v>780</v>
      </c>
      <c r="C819" t="str">
        <f>"013810"</f>
        <v>013810</v>
      </c>
      <c r="D819" t="s">
        <v>784</v>
      </c>
      <c r="E819">
        <v>694</v>
      </c>
      <c r="F819">
        <v>0</v>
      </c>
      <c r="G819">
        <v>0</v>
      </c>
    </row>
    <row r="820" spans="1:7">
      <c r="A820" t="str">
        <f t="shared" si="61"/>
        <v>212</v>
      </c>
      <c r="B820" t="s">
        <v>780</v>
      </c>
      <c r="C820" t="str">
        <f>"009540"</f>
        <v>009540</v>
      </c>
      <c r="D820" t="s">
        <v>270</v>
      </c>
      <c r="E820">
        <v>51947</v>
      </c>
      <c r="F820">
        <v>0</v>
      </c>
      <c r="G820">
        <v>0</v>
      </c>
    </row>
    <row r="821" spans="1:7">
      <c r="A821" t="str">
        <f t="shared" si="61"/>
        <v>212</v>
      </c>
      <c r="B821" t="s">
        <v>780</v>
      </c>
      <c r="C821" t="str">
        <f>"042660"</f>
        <v>042660</v>
      </c>
      <c r="D821" t="s">
        <v>761</v>
      </c>
      <c r="E821">
        <v>19205</v>
      </c>
      <c r="F821">
        <v>0</v>
      </c>
      <c r="G821">
        <v>0</v>
      </c>
    </row>
    <row r="822" spans="1:7">
      <c r="A822" t="str">
        <f t="shared" si="61"/>
        <v>212</v>
      </c>
      <c r="B822" t="s">
        <v>780</v>
      </c>
      <c r="C822" t="str">
        <f>"097230"</f>
        <v>097230</v>
      </c>
      <c r="D822" t="s">
        <v>785</v>
      </c>
      <c r="E822">
        <v>3181</v>
      </c>
      <c r="F822">
        <v>0</v>
      </c>
      <c r="G822">
        <v>0</v>
      </c>
    </row>
    <row r="823" spans="1:7">
      <c r="A823" t="str">
        <f t="shared" si="61"/>
        <v>212</v>
      </c>
      <c r="B823" t="s">
        <v>780</v>
      </c>
      <c r="C823" t="str">
        <f>"010820"</f>
        <v>010820</v>
      </c>
      <c r="D823" t="s">
        <v>329</v>
      </c>
      <c r="E823">
        <v>1533</v>
      </c>
      <c r="F823">
        <v>0</v>
      </c>
      <c r="G823">
        <v>0</v>
      </c>
    </row>
    <row r="824" spans="1:7">
      <c r="A824" t="str">
        <f t="shared" si="61"/>
        <v>212</v>
      </c>
      <c r="B824" t="s">
        <v>780</v>
      </c>
      <c r="C824" t="str">
        <f>"047810"</f>
        <v>047810</v>
      </c>
      <c r="D824" t="s">
        <v>786</v>
      </c>
      <c r="E824">
        <v>42840</v>
      </c>
      <c r="F824">
        <v>0</v>
      </c>
      <c r="G824">
        <v>0</v>
      </c>
    </row>
    <row r="825" spans="1:7">
      <c r="A825" t="str">
        <f t="shared" ref="A825:A834" si="62">"313"</f>
        <v>313</v>
      </c>
      <c r="B825" t="s">
        <v>787</v>
      </c>
      <c r="C825" t="str">
        <f>"027710"</f>
        <v>027710</v>
      </c>
      <c r="D825" t="s">
        <v>788</v>
      </c>
      <c r="E825">
        <v>1900</v>
      </c>
      <c r="F825">
        <v>0</v>
      </c>
      <c r="G825">
        <v>0</v>
      </c>
    </row>
    <row r="826" spans="1:7">
      <c r="A826" t="str">
        <f t="shared" si="62"/>
        <v>313</v>
      </c>
      <c r="B826" t="s">
        <v>787</v>
      </c>
      <c r="C826" t="str">
        <f>"036580"</f>
        <v>036580</v>
      </c>
      <c r="D826" t="s">
        <v>789</v>
      </c>
      <c r="E826">
        <v>1339</v>
      </c>
      <c r="F826">
        <v>0</v>
      </c>
      <c r="G826">
        <v>0</v>
      </c>
    </row>
    <row r="827" spans="1:7">
      <c r="A827" t="str">
        <f t="shared" si="62"/>
        <v>313</v>
      </c>
      <c r="B827" t="s">
        <v>787</v>
      </c>
      <c r="C827" t="str">
        <f>"001790"</f>
        <v>001790</v>
      </c>
      <c r="D827" t="s">
        <v>790</v>
      </c>
      <c r="E827">
        <v>2247</v>
      </c>
      <c r="F827">
        <v>0</v>
      </c>
      <c r="G827">
        <v>0</v>
      </c>
    </row>
    <row r="828" spans="1:7">
      <c r="A828" t="str">
        <f t="shared" si="62"/>
        <v>313</v>
      </c>
      <c r="B828" t="s">
        <v>787</v>
      </c>
      <c r="C828" t="str">
        <f>"136490"</f>
        <v>136490</v>
      </c>
      <c r="D828" t="s">
        <v>791</v>
      </c>
      <c r="E828">
        <v>2147</v>
      </c>
      <c r="F828">
        <v>0</v>
      </c>
      <c r="G828">
        <v>0</v>
      </c>
    </row>
    <row r="829" spans="1:7">
      <c r="A829" t="str">
        <f t="shared" si="62"/>
        <v>313</v>
      </c>
      <c r="B829" t="s">
        <v>787</v>
      </c>
      <c r="C829" t="str">
        <f>"002140"</f>
        <v>002140</v>
      </c>
      <c r="D829" t="s">
        <v>792</v>
      </c>
      <c r="E829">
        <v>877</v>
      </c>
      <c r="F829">
        <v>0</v>
      </c>
      <c r="G829">
        <v>0</v>
      </c>
    </row>
    <row r="830" spans="1:7">
      <c r="A830" t="str">
        <f t="shared" si="62"/>
        <v>313</v>
      </c>
      <c r="B830" t="s">
        <v>787</v>
      </c>
      <c r="C830" t="str">
        <f>"025880"</f>
        <v>025880</v>
      </c>
      <c r="D830" t="s">
        <v>793</v>
      </c>
      <c r="E830">
        <v>429</v>
      </c>
      <c r="F830">
        <v>0</v>
      </c>
      <c r="G830">
        <v>0</v>
      </c>
    </row>
    <row r="831" spans="1:7">
      <c r="A831" t="str">
        <f t="shared" si="62"/>
        <v>313</v>
      </c>
      <c r="B831" t="s">
        <v>787</v>
      </c>
      <c r="C831" t="str">
        <f>"035810"</f>
        <v>035810</v>
      </c>
      <c r="D831" t="s">
        <v>794</v>
      </c>
      <c r="E831">
        <v>1792</v>
      </c>
      <c r="F831">
        <v>0</v>
      </c>
      <c r="G831">
        <v>0</v>
      </c>
    </row>
    <row r="832" spans="1:7">
      <c r="A832" t="str">
        <f t="shared" si="62"/>
        <v>313</v>
      </c>
      <c r="B832" t="s">
        <v>787</v>
      </c>
      <c r="C832" t="str">
        <f>"006980"</f>
        <v>006980</v>
      </c>
      <c r="D832" t="s">
        <v>795</v>
      </c>
      <c r="E832">
        <v>664</v>
      </c>
      <c r="F832">
        <v>0</v>
      </c>
      <c r="G832">
        <v>0</v>
      </c>
    </row>
    <row r="833" spans="1:9">
      <c r="A833" t="str">
        <f t="shared" si="62"/>
        <v>313</v>
      </c>
      <c r="B833" t="s">
        <v>787</v>
      </c>
      <c r="C833" t="str">
        <f>"005860"</f>
        <v>005860</v>
      </c>
      <c r="D833" t="s">
        <v>796</v>
      </c>
      <c r="E833">
        <v>1702</v>
      </c>
      <c r="F833">
        <v>0</v>
      </c>
      <c r="G833">
        <v>0</v>
      </c>
    </row>
    <row r="834" spans="1:9">
      <c r="A834" t="str">
        <f t="shared" si="62"/>
        <v>313</v>
      </c>
      <c r="B834" t="s">
        <v>787</v>
      </c>
      <c r="C834" t="str">
        <f>"097950"</f>
        <v>097950</v>
      </c>
      <c r="D834" t="s">
        <v>601</v>
      </c>
      <c r="E834">
        <v>50883</v>
      </c>
      <c r="F834">
        <v>0</v>
      </c>
      <c r="G834">
        <v>0</v>
      </c>
    </row>
    <row r="835" spans="1:9">
      <c r="A835" t="str">
        <f t="shared" ref="A835:A840" si="63">"312"</f>
        <v>312</v>
      </c>
      <c r="B835" t="s">
        <v>797</v>
      </c>
      <c r="C835" t="str">
        <f>"001790"</f>
        <v>001790</v>
      </c>
      <c r="D835" t="s">
        <v>790</v>
      </c>
      <c r="E835">
        <v>2247</v>
      </c>
      <c r="F835">
        <v>0</v>
      </c>
      <c r="G835">
        <v>0</v>
      </c>
    </row>
    <row r="836" spans="1:9">
      <c r="A836" t="str">
        <f t="shared" si="63"/>
        <v>312</v>
      </c>
      <c r="B836" t="s">
        <v>797</v>
      </c>
      <c r="C836" t="str">
        <f>"145990"</f>
        <v>145990</v>
      </c>
      <c r="D836" t="s">
        <v>798</v>
      </c>
      <c r="E836">
        <v>4007</v>
      </c>
      <c r="F836">
        <v>0</v>
      </c>
      <c r="G836">
        <v>0</v>
      </c>
    </row>
    <row r="837" spans="1:9">
      <c r="A837" t="str">
        <f t="shared" si="63"/>
        <v>312</v>
      </c>
      <c r="B837" t="s">
        <v>797</v>
      </c>
      <c r="C837" t="str">
        <f>"008040"</f>
        <v>008040</v>
      </c>
      <c r="D837" t="s">
        <v>799</v>
      </c>
      <c r="E837">
        <v>1296</v>
      </c>
      <c r="F837">
        <v>0</v>
      </c>
      <c r="G837">
        <v>0</v>
      </c>
    </row>
    <row r="838" spans="1:9">
      <c r="A838" t="str">
        <f t="shared" si="63"/>
        <v>312</v>
      </c>
      <c r="B838" t="s">
        <v>797</v>
      </c>
      <c r="C838" t="str">
        <f>"002680"</f>
        <v>002680</v>
      </c>
      <c r="D838" t="s">
        <v>800</v>
      </c>
      <c r="E838">
        <v>360</v>
      </c>
      <c r="F838">
        <v>0</v>
      </c>
      <c r="G838">
        <v>0</v>
      </c>
    </row>
    <row r="839" spans="1:9">
      <c r="A839" t="str">
        <f t="shared" si="63"/>
        <v>312</v>
      </c>
      <c r="B839" t="s">
        <v>797</v>
      </c>
      <c r="C839" t="str">
        <f>"001130"</f>
        <v>001130</v>
      </c>
      <c r="D839" t="s">
        <v>801</v>
      </c>
      <c r="E839">
        <v>2298</v>
      </c>
      <c r="F839">
        <v>0</v>
      </c>
      <c r="G839">
        <v>0</v>
      </c>
    </row>
    <row r="840" spans="1:9">
      <c r="A840" t="str">
        <f t="shared" si="63"/>
        <v>312</v>
      </c>
      <c r="B840" t="s">
        <v>797</v>
      </c>
      <c r="C840" t="str">
        <f>"097950"</f>
        <v>097950</v>
      </c>
      <c r="D840" t="s">
        <v>601</v>
      </c>
      <c r="E840">
        <v>50883</v>
      </c>
      <c r="F840">
        <v>0</v>
      </c>
      <c r="G840">
        <v>0</v>
      </c>
    </row>
    <row r="841" spans="1:9">
      <c r="A841" t="str">
        <f>"100"</f>
        <v>100</v>
      </c>
      <c r="B841" t="s">
        <v>802</v>
      </c>
      <c r="C841" t="str">
        <f>"052420"</f>
        <v>052420</v>
      </c>
      <c r="D841" t="s">
        <v>803</v>
      </c>
      <c r="E841">
        <v>1116</v>
      </c>
      <c r="F841">
        <v>0</v>
      </c>
      <c r="G841">
        <v>0</v>
      </c>
    </row>
    <row r="842" spans="1:9">
      <c r="A842" t="str">
        <f>"100"</f>
        <v>100</v>
      </c>
      <c r="B842" t="s">
        <v>802</v>
      </c>
      <c r="C842" t="str">
        <f>"004000"</f>
        <v>004000</v>
      </c>
      <c r="D842" t="s">
        <v>658</v>
      </c>
      <c r="E842">
        <v>14138</v>
      </c>
      <c r="F842">
        <v>0</v>
      </c>
      <c r="G842">
        <v>0</v>
      </c>
    </row>
    <row r="843" spans="1:9">
      <c r="A843" t="str">
        <f>"100"</f>
        <v>100</v>
      </c>
      <c r="B843" t="s">
        <v>802</v>
      </c>
      <c r="C843" t="str">
        <f>"010060"</f>
        <v>010060</v>
      </c>
      <c r="D843" t="s">
        <v>804</v>
      </c>
      <c r="E843">
        <v>18793</v>
      </c>
      <c r="F843">
        <v>0</v>
      </c>
      <c r="G843">
        <v>0</v>
      </c>
    </row>
    <row r="844" spans="1:9" ht="148.5">
      <c r="A844" t="str">
        <f>"100"</f>
        <v>100</v>
      </c>
      <c r="B844" t="s">
        <v>802</v>
      </c>
      <c r="C844" t="str">
        <f>"009830"</f>
        <v>009830</v>
      </c>
      <c r="D844" t="s">
        <v>623</v>
      </c>
      <c r="E844">
        <v>90857</v>
      </c>
      <c r="F844">
        <v>0</v>
      </c>
      <c r="G844">
        <v>0</v>
      </c>
      <c r="H844" s="1" t="s">
        <v>624</v>
      </c>
      <c r="I844" t="s">
        <v>12</v>
      </c>
    </row>
    <row r="845" spans="1:9">
      <c r="A845" t="str">
        <f>"352"</f>
        <v>352</v>
      </c>
      <c r="B845" t="s">
        <v>805</v>
      </c>
      <c r="C845" t="str">
        <f>"002810"</f>
        <v>002810</v>
      </c>
      <c r="D845" t="s">
        <v>806</v>
      </c>
      <c r="E845">
        <v>2345</v>
      </c>
      <c r="F845">
        <v>0</v>
      </c>
      <c r="G845">
        <v>0</v>
      </c>
    </row>
    <row r="846" spans="1:9">
      <c r="A846" t="str">
        <f>"352"</f>
        <v>352</v>
      </c>
      <c r="B846" t="s">
        <v>805</v>
      </c>
      <c r="C846" t="str">
        <f>"065510"</f>
        <v>065510</v>
      </c>
      <c r="D846" t="s">
        <v>598</v>
      </c>
      <c r="E846">
        <v>1195</v>
      </c>
      <c r="F846">
        <v>0</v>
      </c>
      <c r="G846">
        <v>0</v>
      </c>
    </row>
    <row r="847" spans="1:9">
      <c r="A847" t="str">
        <f>"352"</f>
        <v>352</v>
      </c>
      <c r="B847" t="s">
        <v>805</v>
      </c>
      <c r="C847" t="str">
        <f>"119610"</f>
        <v>119610</v>
      </c>
      <c r="D847" t="s">
        <v>807</v>
      </c>
      <c r="E847">
        <v>3760</v>
      </c>
      <c r="F847">
        <v>0</v>
      </c>
      <c r="G847">
        <v>0</v>
      </c>
    </row>
    <row r="848" spans="1:9">
      <c r="A848" t="str">
        <f>"232"</f>
        <v>232</v>
      </c>
      <c r="B848" t="s">
        <v>808</v>
      </c>
      <c r="C848" t="str">
        <f>"000120"</f>
        <v>000120</v>
      </c>
      <c r="D848" t="s">
        <v>809</v>
      </c>
      <c r="E848">
        <v>20371</v>
      </c>
      <c r="F848">
        <v>0</v>
      </c>
      <c r="G848">
        <v>0</v>
      </c>
    </row>
    <row r="849" spans="1:9">
      <c r="A849" t="str">
        <f>"232"</f>
        <v>232</v>
      </c>
      <c r="B849" t="s">
        <v>808</v>
      </c>
      <c r="C849" t="str">
        <f>"068400"</f>
        <v>068400</v>
      </c>
      <c r="D849" t="s">
        <v>810</v>
      </c>
      <c r="E849">
        <v>3121</v>
      </c>
      <c r="F849">
        <v>0</v>
      </c>
      <c r="G849">
        <v>0</v>
      </c>
    </row>
    <row r="850" spans="1:9">
      <c r="A850" t="str">
        <f>"232"</f>
        <v>232</v>
      </c>
      <c r="B850" t="s">
        <v>808</v>
      </c>
      <c r="C850" t="str">
        <f>"002320"</f>
        <v>002320</v>
      </c>
      <c r="D850" t="s">
        <v>811</v>
      </c>
      <c r="E850">
        <v>3094</v>
      </c>
      <c r="F850">
        <v>0</v>
      </c>
      <c r="G850">
        <v>0</v>
      </c>
    </row>
    <row r="851" spans="1:9">
      <c r="A851" t="str">
        <f>"232"</f>
        <v>232</v>
      </c>
      <c r="B851" t="s">
        <v>808</v>
      </c>
      <c r="C851" t="str">
        <f>"009180"</f>
        <v>009180</v>
      </c>
      <c r="D851" t="s">
        <v>812</v>
      </c>
      <c r="E851">
        <v>749</v>
      </c>
      <c r="F851">
        <v>0</v>
      </c>
      <c r="G851">
        <v>0</v>
      </c>
    </row>
    <row r="852" spans="1:9">
      <c r="A852" t="str">
        <f>"232"</f>
        <v>232</v>
      </c>
      <c r="B852" t="s">
        <v>808</v>
      </c>
      <c r="C852" t="str">
        <f>"086280"</f>
        <v>086280</v>
      </c>
      <c r="D852" t="s">
        <v>813</v>
      </c>
      <c r="E852">
        <v>59813</v>
      </c>
      <c r="F852">
        <v>0</v>
      </c>
      <c r="G852">
        <v>0</v>
      </c>
    </row>
    <row r="853" spans="1:9">
      <c r="A853" t="str">
        <f>"101"</f>
        <v>101</v>
      </c>
      <c r="B853" t="s">
        <v>814</v>
      </c>
      <c r="C853" t="str">
        <f>"052420"</f>
        <v>052420</v>
      </c>
      <c r="D853" t="s">
        <v>803</v>
      </c>
      <c r="E853">
        <v>1116</v>
      </c>
      <c r="F853">
        <v>0</v>
      </c>
      <c r="G853">
        <v>0</v>
      </c>
    </row>
    <row r="854" spans="1:9">
      <c r="A854" t="str">
        <f>"101"</f>
        <v>101</v>
      </c>
      <c r="B854" t="s">
        <v>814</v>
      </c>
      <c r="C854" t="str">
        <f>"095910"</f>
        <v>095910</v>
      </c>
      <c r="D854" t="s">
        <v>622</v>
      </c>
      <c r="E854">
        <v>585</v>
      </c>
      <c r="F854">
        <v>0</v>
      </c>
      <c r="G854">
        <v>0</v>
      </c>
    </row>
    <row r="855" spans="1:9">
      <c r="A855" t="str">
        <f>"101"</f>
        <v>101</v>
      </c>
      <c r="B855" t="s">
        <v>814</v>
      </c>
      <c r="C855" t="str">
        <f>"011930"</f>
        <v>011930</v>
      </c>
      <c r="D855" t="s">
        <v>815</v>
      </c>
      <c r="E855">
        <v>3211</v>
      </c>
      <c r="F855">
        <v>0</v>
      </c>
      <c r="G855">
        <v>0</v>
      </c>
    </row>
    <row r="856" spans="1:9" ht="49.5">
      <c r="A856" t="str">
        <f>"101"</f>
        <v>101</v>
      </c>
      <c r="B856" t="s">
        <v>814</v>
      </c>
      <c r="C856" t="str">
        <f>"006400"</f>
        <v>006400</v>
      </c>
      <c r="D856" t="s">
        <v>689</v>
      </c>
      <c r="E856">
        <v>400897</v>
      </c>
      <c r="F856">
        <v>0</v>
      </c>
      <c r="G856">
        <v>0</v>
      </c>
      <c r="H856" s="1" t="s">
        <v>816</v>
      </c>
      <c r="I856" t="s">
        <v>12</v>
      </c>
    </row>
    <row r="857" spans="1:9" ht="148.5">
      <c r="A857" t="str">
        <f>"101"</f>
        <v>101</v>
      </c>
      <c r="B857" t="s">
        <v>814</v>
      </c>
      <c r="C857" t="str">
        <f>"009830"</f>
        <v>009830</v>
      </c>
      <c r="D857" t="s">
        <v>623</v>
      </c>
      <c r="E857">
        <v>90857</v>
      </c>
      <c r="F857">
        <v>0</v>
      </c>
      <c r="G857">
        <v>0</v>
      </c>
      <c r="H857" s="1" t="s">
        <v>624</v>
      </c>
      <c r="I857" t="s">
        <v>12</v>
      </c>
    </row>
    <row r="858" spans="1:9">
      <c r="A858" t="str">
        <f t="shared" ref="A858:A864" si="64">"610"</f>
        <v>610</v>
      </c>
      <c r="B858" t="s">
        <v>817</v>
      </c>
      <c r="C858" t="str">
        <f>"034590"</f>
        <v>034590</v>
      </c>
      <c r="D858" t="s">
        <v>818</v>
      </c>
      <c r="E858">
        <v>1183</v>
      </c>
      <c r="F858">
        <v>0</v>
      </c>
      <c r="G858">
        <v>0</v>
      </c>
    </row>
    <row r="859" spans="1:9">
      <c r="A859" t="str">
        <f t="shared" si="64"/>
        <v>610</v>
      </c>
      <c r="B859" t="s">
        <v>817</v>
      </c>
      <c r="C859" t="str">
        <f>"015360"</f>
        <v>015360</v>
      </c>
      <c r="D859" t="s">
        <v>819</v>
      </c>
      <c r="E859">
        <v>1845</v>
      </c>
      <c r="F859">
        <v>0</v>
      </c>
      <c r="G859">
        <v>0</v>
      </c>
    </row>
    <row r="860" spans="1:9">
      <c r="A860" t="str">
        <f t="shared" si="64"/>
        <v>610</v>
      </c>
      <c r="B860" t="s">
        <v>817</v>
      </c>
      <c r="C860" t="str">
        <f>"004690"</f>
        <v>004690</v>
      </c>
      <c r="D860" t="s">
        <v>820</v>
      </c>
      <c r="E860">
        <v>16768</v>
      </c>
      <c r="F860">
        <v>0</v>
      </c>
      <c r="G860">
        <v>0</v>
      </c>
    </row>
    <row r="861" spans="1:9">
      <c r="A861" t="str">
        <f t="shared" si="64"/>
        <v>610</v>
      </c>
      <c r="B861" t="s">
        <v>817</v>
      </c>
      <c r="C861" t="str">
        <f>"017390"</f>
        <v>017390</v>
      </c>
      <c r="D861" t="s">
        <v>821</v>
      </c>
      <c r="E861">
        <v>21725</v>
      </c>
      <c r="F861">
        <v>0</v>
      </c>
      <c r="G861">
        <v>0</v>
      </c>
    </row>
    <row r="862" spans="1:9">
      <c r="A862" t="str">
        <f t="shared" si="64"/>
        <v>610</v>
      </c>
      <c r="B862" t="s">
        <v>817</v>
      </c>
      <c r="C862" t="str">
        <f>"012320"</f>
        <v>012320</v>
      </c>
      <c r="D862" t="s">
        <v>822</v>
      </c>
      <c r="E862">
        <v>2306</v>
      </c>
      <c r="F862">
        <v>0</v>
      </c>
      <c r="G862">
        <v>0</v>
      </c>
    </row>
    <row r="863" spans="1:9">
      <c r="A863" t="str">
        <f t="shared" si="64"/>
        <v>610</v>
      </c>
      <c r="B863" t="s">
        <v>817</v>
      </c>
      <c r="C863" t="str">
        <f>"053050"</f>
        <v>053050</v>
      </c>
      <c r="D863" t="s">
        <v>823</v>
      </c>
      <c r="E863">
        <v>1099</v>
      </c>
      <c r="F863">
        <v>0</v>
      </c>
      <c r="G863">
        <v>0</v>
      </c>
    </row>
    <row r="864" spans="1:9">
      <c r="A864" t="str">
        <f t="shared" si="64"/>
        <v>610</v>
      </c>
      <c r="B864" t="s">
        <v>817</v>
      </c>
      <c r="C864" t="str">
        <f>"117580"</f>
        <v>117580</v>
      </c>
      <c r="D864" t="s">
        <v>824</v>
      </c>
      <c r="E864">
        <v>2365</v>
      </c>
      <c r="F864">
        <v>0</v>
      </c>
      <c r="G864">
        <v>0</v>
      </c>
    </row>
    <row r="865" spans="1:9" ht="33">
      <c r="A865" t="str">
        <f t="shared" ref="A865:A871" si="65">"283"</f>
        <v>283</v>
      </c>
      <c r="B865" t="s">
        <v>825</v>
      </c>
      <c r="C865" t="str">
        <f>"104200"</f>
        <v>104200</v>
      </c>
      <c r="D865" t="s">
        <v>826</v>
      </c>
      <c r="E865">
        <v>848</v>
      </c>
      <c r="F865">
        <v>0</v>
      </c>
      <c r="G865">
        <v>0</v>
      </c>
      <c r="H865" s="3" t="s">
        <v>827</v>
      </c>
      <c r="I865" t="s">
        <v>322</v>
      </c>
    </row>
    <row r="866" spans="1:9" ht="33">
      <c r="A866" t="str">
        <f t="shared" si="65"/>
        <v>283</v>
      </c>
      <c r="B866" t="s">
        <v>825</v>
      </c>
      <c r="C866" t="str">
        <f>"122870"</f>
        <v>122870</v>
      </c>
      <c r="D866" t="s">
        <v>702</v>
      </c>
      <c r="E866">
        <v>9160</v>
      </c>
      <c r="F866">
        <v>0</v>
      </c>
      <c r="G866">
        <v>0</v>
      </c>
      <c r="H866" s="1" t="s">
        <v>703</v>
      </c>
      <c r="I866" t="s">
        <v>322</v>
      </c>
    </row>
    <row r="867" spans="1:9" ht="33">
      <c r="A867" t="str">
        <f t="shared" si="65"/>
        <v>283</v>
      </c>
      <c r="B867" t="s">
        <v>825</v>
      </c>
      <c r="C867" t="str">
        <f>"173940"</f>
        <v>173940</v>
      </c>
      <c r="D867" t="s">
        <v>704</v>
      </c>
      <c r="E867">
        <v>829</v>
      </c>
      <c r="F867">
        <v>0</v>
      </c>
      <c r="G867">
        <v>0</v>
      </c>
      <c r="H867" s="1" t="s">
        <v>705</v>
      </c>
      <c r="I867" t="s">
        <v>322</v>
      </c>
    </row>
    <row r="868" spans="1:9" ht="50.25" customHeight="1">
      <c r="A868" t="str">
        <f t="shared" si="65"/>
        <v>283</v>
      </c>
      <c r="B868" t="s">
        <v>825</v>
      </c>
      <c r="C868" t="str">
        <f>"043610"</f>
        <v>043610</v>
      </c>
      <c r="D868" t="s">
        <v>828</v>
      </c>
      <c r="E868">
        <v>2037</v>
      </c>
      <c r="F868">
        <v>0</v>
      </c>
      <c r="G868">
        <v>0</v>
      </c>
      <c r="H868" s="3" t="s">
        <v>829</v>
      </c>
      <c r="I868" t="s">
        <v>322</v>
      </c>
    </row>
    <row r="869" spans="1:9" ht="49.5">
      <c r="A869" t="str">
        <f t="shared" si="65"/>
        <v>283</v>
      </c>
      <c r="B869" t="s">
        <v>825</v>
      </c>
      <c r="C869" t="str">
        <f>"041510"</f>
        <v>041510</v>
      </c>
      <c r="D869" t="s">
        <v>706</v>
      </c>
      <c r="E869">
        <v>17711</v>
      </c>
      <c r="F869">
        <v>0</v>
      </c>
      <c r="G869">
        <v>0</v>
      </c>
      <c r="H869" s="1" t="s">
        <v>707</v>
      </c>
      <c r="I869" t="s">
        <v>322</v>
      </c>
    </row>
    <row r="870" spans="1:9" ht="33">
      <c r="A870" t="str">
        <f t="shared" si="65"/>
        <v>283</v>
      </c>
      <c r="B870" t="s">
        <v>825</v>
      </c>
      <c r="C870" t="str">
        <f>"035900"</f>
        <v>035900</v>
      </c>
      <c r="D870" t="s">
        <v>708</v>
      </c>
      <c r="E870">
        <v>22931</v>
      </c>
      <c r="F870">
        <v>0</v>
      </c>
      <c r="G870">
        <v>0</v>
      </c>
      <c r="H870" s="1" t="s">
        <v>709</v>
      </c>
      <c r="I870" t="s">
        <v>322</v>
      </c>
    </row>
    <row r="871" spans="1:9" ht="33">
      <c r="A871" t="str">
        <f t="shared" si="65"/>
        <v>283</v>
      </c>
      <c r="B871" t="s">
        <v>825</v>
      </c>
      <c r="C871" t="str">
        <f>"182360"</f>
        <v>182360</v>
      </c>
      <c r="D871" t="s">
        <v>710</v>
      </c>
      <c r="E871">
        <v>2292</v>
      </c>
      <c r="F871">
        <v>0</v>
      </c>
      <c r="G871">
        <v>0</v>
      </c>
      <c r="H871" s="1" t="s">
        <v>711</v>
      </c>
      <c r="I871" t="s">
        <v>322</v>
      </c>
    </row>
    <row r="872" spans="1:9">
      <c r="A872" t="str">
        <f>"153"</f>
        <v>153</v>
      </c>
      <c r="B872" t="s">
        <v>830</v>
      </c>
      <c r="C872" t="str">
        <f>"004800"</f>
        <v>004800</v>
      </c>
      <c r="D872" t="s">
        <v>748</v>
      </c>
      <c r="E872">
        <v>13717</v>
      </c>
      <c r="F872">
        <v>0</v>
      </c>
      <c r="G872">
        <v>0</v>
      </c>
    </row>
    <row r="873" spans="1:9">
      <c r="A873" t="str">
        <f>"153"</f>
        <v>153</v>
      </c>
      <c r="B873" t="s">
        <v>830</v>
      </c>
      <c r="C873" t="str">
        <f>"003240"</f>
        <v>003240</v>
      </c>
      <c r="D873" t="s">
        <v>336</v>
      </c>
      <c r="E873">
        <v>7972</v>
      </c>
      <c r="F873">
        <v>0</v>
      </c>
      <c r="G873">
        <v>0</v>
      </c>
    </row>
    <row r="874" spans="1:9">
      <c r="A874" t="str">
        <f t="shared" ref="A874:A879" si="66">"150"</f>
        <v>150</v>
      </c>
      <c r="B874" t="s">
        <v>831</v>
      </c>
      <c r="C874" t="str">
        <f>"011780"</f>
        <v>011780</v>
      </c>
      <c r="D874" t="s">
        <v>648</v>
      </c>
      <c r="E874">
        <v>37669</v>
      </c>
      <c r="F874">
        <v>0</v>
      </c>
      <c r="G874">
        <v>0</v>
      </c>
    </row>
    <row r="875" spans="1:9">
      <c r="A875" t="str">
        <f t="shared" si="66"/>
        <v>150</v>
      </c>
      <c r="B875" t="s">
        <v>831</v>
      </c>
      <c r="C875" t="str">
        <f>"011170"</f>
        <v>011170</v>
      </c>
      <c r="D875" t="s">
        <v>746</v>
      </c>
      <c r="E875">
        <v>59468</v>
      </c>
      <c r="F875">
        <v>0</v>
      </c>
      <c r="G875">
        <v>0</v>
      </c>
    </row>
    <row r="876" spans="1:9">
      <c r="A876" t="str">
        <f t="shared" si="66"/>
        <v>150</v>
      </c>
      <c r="B876" t="s">
        <v>831</v>
      </c>
      <c r="C876" t="str">
        <f>"006650"</f>
        <v>006650</v>
      </c>
      <c r="D876" t="s">
        <v>832</v>
      </c>
      <c r="E876">
        <v>10823</v>
      </c>
      <c r="F876">
        <v>0</v>
      </c>
      <c r="G876">
        <v>0</v>
      </c>
    </row>
    <row r="877" spans="1:9">
      <c r="A877" t="str">
        <f t="shared" si="66"/>
        <v>150</v>
      </c>
      <c r="B877" t="s">
        <v>831</v>
      </c>
      <c r="C877" t="str">
        <f>"000210"</f>
        <v>000210</v>
      </c>
      <c r="D877" t="s">
        <v>141</v>
      </c>
      <c r="E877">
        <v>12175</v>
      </c>
      <c r="F877">
        <v>0</v>
      </c>
      <c r="G877">
        <v>0</v>
      </c>
    </row>
    <row r="878" spans="1:9">
      <c r="A878" t="str">
        <f t="shared" si="66"/>
        <v>150</v>
      </c>
      <c r="B878" t="s">
        <v>831</v>
      </c>
      <c r="C878" t="str">
        <f>"051910"</f>
        <v>051910</v>
      </c>
      <c r="D878" t="s">
        <v>649</v>
      </c>
      <c r="E878">
        <v>410142</v>
      </c>
      <c r="F878">
        <v>0</v>
      </c>
      <c r="G878">
        <v>0</v>
      </c>
    </row>
    <row r="879" spans="1:9" ht="148.5">
      <c r="A879" t="str">
        <f t="shared" si="66"/>
        <v>150</v>
      </c>
      <c r="B879" t="s">
        <v>831</v>
      </c>
      <c r="C879" t="str">
        <f>"009830"</f>
        <v>009830</v>
      </c>
      <c r="D879" t="s">
        <v>623</v>
      </c>
      <c r="E879">
        <v>90857</v>
      </c>
      <c r="F879">
        <v>0</v>
      </c>
      <c r="G879">
        <v>0</v>
      </c>
      <c r="H879" s="1" t="s">
        <v>624</v>
      </c>
      <c r="I879" t="s">
        <v>12</v>
      </c>
    </row>
    <row r="880" spans="1:9">
      <c r="A880" t="str">
        <f>"840"</f>
        <v>840</v>
      </c>
      <c r="B880" t="s">
        <v>833</v>
      </c>
      <c r="C880" t="str">
        <f>"119650"</f>
        <v>119650</v>
      </c>
      <c r="D880" t="s">
        <v>834</v>
      </c>
      <c r="E880">
        <v>276</v>
      </c>
      <c r="F880">
        <v>0</v>
      </c>
      <c r="G880">
        <v>0</v>
      </c>
    </row>
    <row r="881" spans="1:9">
      <c r="A881" t="str">
        <f>"840"</f>
        <v>840</v>
      </c>
      <c r="B881" t="s">
        <v>833</v>
      </c>
      <c r="C881" t="str">
        <f>"060150"</f>
        <v>060150</v>
      </c>
      <c r="D881" t="s">
        <v>256</v>
      </c>
      <c r="E881">
        <v>3991</v>
      </c>
      <c r="F881">
        <v>0</v>
      </c>
      <c r="G881">
        <v>0</v>
      </c>
    </row>
    <row r="882" spans="1:9">
      <c r="A882" t="str">
        <f>"840"</f>
        <v>840</v>
      </c>
      <c r="B882" t="s">
        <v>833</v>
      </c>
      <c r="C882" t="str">
        <f>"043910"</f>
        <v>043910</v>
      </c>
      <c r="D882" t="s">
        <v>835</v>
      </c>
      <c r="E882">
        <v>859</v>
      </c>
      <c r="F882">
        <v>0</v>
      </c>
      <c r="G882">
        <v>0</v>
      </c>
    </row>
    <row r="883" spans="1:9">
      <c r="A883" t="str">
        <f>"840"</f>
        <v>840</v>
      </c>
      <c r="B883" t="s">
        <v>833</v>
      </c>
      <c r="C883" t="str">
        <f>"009440"</f>
        <v>009440</v>
      </c>
      <c r="D883" t="s">
        <v>260</v>
      </c>
      <c r="E883">
        <v>620</v>
      </c>
      <c r="F883">
        <v>0</v>
      </c>
      <c r="G883">
        <v>0</v>
      </c>
    </row>
    <row r="884" spans="1:9">
      <c r="A884" t="str">
        <f>"840"</f>
        <v>840</v>
      </c>
      <c r="B884" t="s">
        <v>833</v>
      </c>
      <c r="C884" t="str">
        <f>"029960"</f>
        <v>029960</v>
      </c>
      <c r="D884" t="s">
        <v>262</v>
      </c>
      <c r="E884">
        <v>3510</v>
      </c>
      <c r="F884">
        <v>0</v>
      </c>
      <c r="G884">
        <v>0</v>
      </c>
    </row>
    <row r="885" spans="1:9">
      <c r="A885" t="str">
        <f t="shared" ref="A885:A893" si="67">"480"</f>
        <v>480</v>
      </c>
      <c r="B885" t="s">
        <v>836</v>
      </c>
      <c r="C885" t="str">
        <f>"010170"</f>
        <v>010170</v>
      </c>
      <c r="D885" t="s">
        <v>837</v>
      </c>
      <c r="E885">
        <v>2192</v>
      </c>
      <c r="F885">
        <v>0</v>
      </c>
      <c r="G885">
        <v>0</v>
      </c>
    </row>
    <row r="886" spans="1:9">
      <c r="A886" t="str">
        <f t="shared" si="67"/>
        <v>480</v>
      </c>
      <c r="B886" t="s">
        <v>836</v>
      </c>
      <c r="C886" t="str">
        <f>"078070"</f>
        <v>078070</v>
      </c>
      <c r="D886" t="s">
        <v>838</v>
      </c>
      <c r="E886">
        <v>3010</v>
      </c>
      <c r="F886">
        <v>0</v>
      </c>
      <c r="G886">
        <v>0</v>
      </c>
    </row>
    <row r="887" spans="1:9">
      <c r="A887" t="str">
        <f t="shared" si="67"/>
        <v>480</v>
      </c>
      <c r="B887" t="s">
        <v>836</v>
      </c>
      <c r="C887" t="str">
        <f>"069540"</f>
        <v>069540</v>
      </c>
      <c r="D887" t="s">
        <v>839</v>
      </c>
      <c r="E887">
        <v>723</v>
      </c>
      <c r="F887">
        <v>0</v>
      </c>
      <c r="G887">
        <v>0</v>
      </c>
    </row>
    <row r="888" spans="1:9">
      <c r="A888" t="str">
        <f t="shared" si="67"/>
        <v>480</v>
      </c>
      <c r="B888" t="s">
        <v>836</v>
      </c>
      <c r="C888" t="str">
        <f>"039560"</f>
        <v>039560</v>
      </c>
      <c r="D888" t="s">
        <v>840</v>
      </c>
      <c r="E888">
        <v>1430</v>
      </c>
      <c r="F888">
        <v>0</v>
      </c>
      <c r="G888">
        <v>0</v>
      </c>
    </row>
    <row r="889" spans="1:9">
      <c r="A889" t="str">
        <f t="shared" si="67"/>
        <v>480</v>
      </c>
      <c r="B889" t="s">
        <v>836</v>
      </c>
      <c r="C889" t="str">
        <f>"091440"</f>
        <v>091440</v>
      </c>
      <c r="D889" t="s">
        <v>841</v>
      </c>
      <c r="E889">
        <v>213</v>
      </c>
      <c r="F889">
        <v>0</v>
      </c>
      <c r="G889">
        <v>0</v>
      </c>
    </row>
    <row r="890" spans="1:9">
      <c r="A890" t="str">
        <f t="shared" si="67"/>
        <v>480</v>
      </c>
      <c r="B890" t="s">
        <v>836</v>
      </c>
      <c r="C890" t="str">
        <f>"014820"</f>
        <v>014820</v>
      </c>
      <c r="D890" t="s">
        <v>842</v>
      </c>
      <c r="E890">
        <v>11263</v>
      </c>
      <c r="F890">
        <v>0</v>
      </c>
      <c r="G890">
        <v>0</v>
      </c>
    </row>
    <row r="891" spans="1:9">
      <c r="A891" t="str">
        <f t="shared" si="67"/>
        <v>480</v>
      </c>
      <c r="B891" t="s">
        <v>836</v>
      </c>
      <c r="C891" t="str">
        <f>"032500"</f>
        <v>032500</v>
      </c>
      <c r="D891" t="s">
        <v>535</v>
      </c>
      <c r="E891">
        <v>10553</v>
      </c>
      <c r="F891">
        <v>0</v>
      </c>
      <c r="G891">
        <v>0</v>
      </c>
    </row>
    <row r="892" spans="1:9">
      <c r="A892" t="str">
        <f t="shared" si="67"/>
        <v>480</v>
      </c>
      <c r="B892" t="s">
        <v>836</v>
      </c>
      <c r="C892" t="str">
        <f>"050890"</f>
        <v>050890</v>
      </c>
      <c r="D892" t="s">
        <v>843</v>
      </c>
      <c r="E892">
        <v>3477</v>
      </c>
      <c r="F892">
        <v>0</v>
      </c>
      <c r="G892">
        <v>0</v>
      </c>
    </row>
    <row r="893" spans="1:9">
      <c r="A893" t="str">
        <f t="shared" si="67"/>
        <v>480</v>
      </c>
      <c r="B893" t="s">
        <v>836</v>
      </c>
      <c r="C893" t="str">
        <f>"051980"</f>
        <v>051980</v>
      </c>
      <c r="D893" t="s">
        <v>844</v>
      </c>
      <c r="E893">
        <v>480</v>
      </c>
      <c r="F893">
        <v>0</v>
      </c>
      <c r="G893">
        <v>0</v>
      </c>
    </row>
    <row r="894" spans="1:9" ht="66">
      <c r="A894" s="5"/>
      <c r="B894" t="s">
        <v>845</v>
      </c>
      <c r="C894" t="str">
        <f>"64350"</f>
        <v>64350</v>
      </c>
      <c r="D894" t="s">
        <v>846</v>
      </c>
      <c r="E894">
        <v>29578</v>
      </c>
      <c r="F894">
        <v>0</v>
      </c>
      <c r="G894">
        <v>0</v>
      </c>
      <c r="H894" s="1" t="s">
        <v>847</v>
      </c>
      <c r="I894" t="s">
        <v>12</v>
      </c>
    </row>
    <row r="895" spans="1:9" ht="99">
      <c r="A895" s="5"/>
      <c r="B895" t="s">
        <v>845</v>
      </c>
      <c r="C895" t="str">
        <f>"12450"</f>
        <v>12450</v>
      </c>
      <c r="D895" t="s">
        <v>848</v>
      </c>
      <c r="E895">
        <v>37264</v>
      </c>
      <c r="F895">
        <v>0</v>
      </c>
      <c r="G895">
        <v>0</v>
      </c>
      <c r="H895" s="1" t="s">
        <v>849</v>
      </c>
      <c r="I895" t="s">
        <v>12</v>
      </c>
    </row>
    <row r="896" spans="1:9" ht="66">
      <c r="A896" s="5"/>
      <c r="B896" t="s">
        <v>845</v>
      </c>
      <c r="C896" t="str">
        <f>"79550"</f>
        <v>79550</v>
      </c>
      <c r="D896" t="s">
        <v>850</v>
      </c>
      <c r="F896">
        <v>0</v>
      </c>
      <c r="G896">
        <v>0</v>
      </c>
      <c r="H896" s="1" t="s">
        <v>851</v>
      </c>
      <c r="I896" t="s">
        <v>12</v>
      </c>
    </row>
    <row r="897" spans="1:9" ht="66">
      <c r="A897" s="5"/>
      <c r="B897" t="s">
        <v>845</v>
      </c>
      <c r="C897" t="str">
        <f>"272210"</f>
        <v>272210</v>
      </c>
      <c r="D897" t="s">
        <v>852</v>
      </c>
      <c r="F897">
        <v>0</v>
      </c>
      <c r="G897">
        <v>0</v>
      </c>
      <c r="H897" s="1" t="s">
        <v>853</v>
      </c>
      <c r="I897" t="s">
        <v>12</v>
      </c>
    </row>
    <row r="898" spans="1:9">
      <c r="A898" t="str">
        <f t="shared" ref="A898:A903" si="68">"214"</f>
        <v>214</v>
      </c>
      <c r="B898" t="s">
        <v>854</v>
      </c>
      <c r="C898" t="str">
        <f>"078350"</f>
        <v>078350</v>
      </c>
      <c r="D898" t="s">
        <v>855</v>
      </c>
      <c r="E898">
        <v>1989</v>
      </c>
      <c r="F898">
        <v>0</v>
      </c>
      <c r="G898">
        <v>0</v>
      </c>
    </row>
    <row r="899" spans="1:9">
      <c r="A899" t="str">
        <f t="shared" si="68"/>
        <v>214</v>
      </c>
      <c r="B899" t="s">
        <v>854</v>
      </c>
      <c r="C899" t="str">
        <f>"042370"</f>
        <v>042370</v>
      </c>
      <c r="D899" t="s">
        <v>856</v>
      </c>
      <c r="E899">
        <v>1693</v>
      </c>
      <c r="F899">
        <v>0</v>
      </c>
      <c r="G899">
        <v>0</v>
      </c>
    </row>
    <row r="900" spans="1:9">
      <c r="A900" t="str">
        <f t="shared" si="68"/>
        <v>214</v>
      </c>
      <c r="B900" t="s">
        <v>854</v>
      </c>
      <c r="C900" t="str">
        <f>"045100"</f>
        <v>045100</v>
      </c>
      <c r="D900" t="s">
        <v>857</v>
      </c>
      <c r="E900">
        <v>2529</v>
      </c>
      <c r="F900">
        <v>0</v>
      </c>
      <c r="G900">
        <v>0</v>
      </c>
    </row>
    <row r="901" spans="1:9">
      <c r="A901" t="str">
        <f t="shared" si="68"/>
        <v>214</v>
      </c>
      <c r="B901" t="s">
        <v>854</v>
      </c>
      <c r="C901" t="str">
        <f>"099320"</f>
        <v>099320</v>
      </c>
      <c r="D901" t="s">
        <v>858</v>
      </c>
      <c r="E901">
        <v>2626</v>
      </c>
      <c r="F901">
        <v>0</v>
      </c>
      <c r="G901">
        <v>0</v>
      </c>
    </row>
    <row r="902" spans="1:9">
      <c r="A902" t="str">
        <f t="shared" si="68"/>
        <v>214</v>
      </c>
      <c r="B902" t="s">
        <v>854</v>
      </c>
      <c r="C902" t="str">
        <f>"010820"</f>
        <v>010820</v>
      </c>
      <c r="D902" t="s">
        <v>329</v>
      </c>
      <c r="E902">
        <v>1533</v>
      </c>
      <c r="F902">
        <v>0</v>
      </c>
      <c r="G902">
        <v>0</v>
      </c>
    </row>
    <row r="903" spans="1:9">
      <c r="A903" t="str">
        <f t="shared" si="68"/>
        <v>214</v>
      </c>
      <c r="B903" t="s">
        <v>854</v>
      </c>
      <c r="C903" t="str">
        <f>"047810"</f>
        <v>047810</v>
      </c>
      <c r="D903" t="s">
        <v>786</v>
      </c>
      <c r="E903">
        <v>42840</v>
      </c>
      <c r="F903">
        <v>0</v>
      </c>
      <c r="G903">
        <v>0</v>
      </c>
    </row>
    <row r="904" spans="1:9" ht="99">
      <c r="A904" t="str">
        <f>"314"</f>
        <v>314</v>
      </c>
      <c r="B904" t="s">
        <v>859</v>
      </c>
      <c r="C904" t="str">
        <f>"003920"</f>
        <v>003920</v>
      </c>
      <c r="D904" t="s">
        <v>695</v>
      </c>
      <c r="E904">
        <v>3254</v>
      </c>
      <c r="F904">
        <v>0</v>
      </c>
      <c r="G904">
        <v>0</v>
      </c>
      <c r="H904" s="1" t="s">
        <v>696</v>
      </c>
      <c r="I904" t="s">
        <v>12</v>
      </c>
    </row>
    <row r="905" spans="1:9">
      <c r="A905" t="str">
        <f>"314"</f>
        <v>314</v>
      </c>
      <c r="B905" t="s">
        <v>859</v>
      </c>
      <c r="C905" t="str">
        <f>"005990"</f>
        <v>005990</v>
      </c>
      <c r="D905" t="s">
        <v>699</v>
      </c>
      <c r="E905">
        <v>1137</v>
      </c>
      <c r="F905">
        <v>0</v>
      </c>
      <c r="G905">
        <v>0</v>
      </c>
    </row>
    <row r="906" spans="1:9">
      <c r="A906" t="str">
        <f>"314"</f>
        <v>314</v>
      </c>
      <c r="B906" t="s">
        <v>859</v>
      </c>
      <c r="C906" t="str">
        <f>"005180"</f>
        <v>005180</v>
      </c>
      <c r="D906" t="s">
        <v>754</v>
      </c>
      <c r="E906">
        <v>3822</v>
      </c>
      <c r="F906">
        <v>0</v>
      </c>
      <c r="G906">
        <v>0</v>
      </c>
    </row>
    <row r="907" spans="1:9" ht="66">
      <c r="A907" t="str">
        <f t="shared" ref="A907:A913" si="69">"285"</f>
        <v>285</v>
      </c>
      <c r="B907" t="s">
        <v>860</v>
      </c>
      <c r="C907" t="str">
        <f>"054780"</f>
        <v>054780</v>
      </c>
      <c r="D907" t="s">
        <v>577</v>
      </c>
      <c r="E907">
        <v>1865</v>
      </c>
      <c r="F907">
        <v>0</v>
      </c>
      <c r="G907">
        <v>0</v>
      </c>
      <c r="H907" s="1" t="s">
        <v>578</v>
      </c>
      <c r="I907" t="s">
        <v>322</v>
      </c>
    </row>
    <row r="908" spans="1:9">
      <c r="A908" t="str">
        <f t="shared" si="69"/>
        <v>285</v>
      </c>
      <c r="B908" t="s">
        <v>860</v>
      </c>
      <c r="C908" t="str">
        <f>"160550"</f>
        <v>160550</v>
      </c>
      <c r="D908" t="s">
        <v>861</v>
      </c>
      <c r="E908">
        <v>2375</v>
      </c>
      <c r="F908">
        <v>0</v>
      </c>
      <c r="G908">
        <v>0</v>
      </c>
      <c r="H908" s="1" t="s">
        <v>862</v>
      </c>
      <c r="I908" t="s">
        <v>322</v>
      </c>
    </row>
    <row r="909" spans="1:9" ht="33">
      <c r="A909" t="str">
        <f t="shared" si="69"/>
        <v>285</v>
      </c>
      <c r="B909" t="s">
        <v>860</v>
      </c>
      <c r="C909" t="str">
        <f>"122870"</f>
        <v>122870</v>
      </c>
      <c r="D909" t="s">
        <v>702</v>
      </c>
      <c r="E909">
        <v>9160</v>
      </c>
      <c r="F909">
        <v>0</v>
      </c>
      <c r="G909">
        <v>0</v>
      </c>
      <c r="H909" s="1" t="s">
        <v>703</v>
      </c>
      <c r="I909" t="s">
        <v>322</v>
      </c>
    </row>
    <row r="910" spans="1:9" ht="33">
      <c r="A910" t="str">
        <f t="shared" si="69"/>
        <v>285</v>
      </c>
      <c r="B910" t="s">
        <v>860</v>
      </c>
      <c r="C910" t="str">
        <f>"173940"</f>
        <v>173940</v>
      </c>
      <c r="D910" t="s">
        <v>704</v>
      </c>
      <c r="E910">
        <v>829</v>
      </c>
      <c r="F910">
        <v>0</v>
      </c>
      <c r="G910">
        <v>0</v>
      </c>
      <c r="H910" s="1" t="s">
        <v>705</v>
      </c>
      <c r="I910" t="s">
        <v>322</v>
      </c>
    </row>
    <row r="911" spans="1:9" ht="49.5">
      <c r="A911" t="str">
        <f t="shared" si="69"/>
        <v>285</v>
      </c>
      <c r="B911" t="s">
        <v>860</v>
      </c>
      <c r="C911" t="str">
        <f>"041510"</f>
        <v>041510</v>
      </c>
      <c r="D911" t="s">
        <v>706</v>
      </c>
      <c r="E911">
        <v>17711</v>
      </c>
      <c r="F911">
        <v>0</v>
      </c>
      <c r="G911">
        <v>0</v>
      </c>
      <c r="H911" s="1" t="s">
        <v>707</v>
      </c>
      <c r="I911" t="s">
        <v>322</v>
      </c>
    </row>
    <row r="912" spans="1:9" ht="33">
      <c r="A912" t="str">
        <f t="shared" si="69"/>
        <v>285</v>
      </c>
      <c r="B912" t="s">
        <v>860</v>
      </c>
      <c r="C912" t="str">
        <f>"035900"</f>
        <v>035900</v>
      </c>
      <c r="D912" t="s">
        <v>708</v>
      </c>
      <c r="E912">
        <v>22931</v>
      </c>
      <c r="F912">
        <v>0</v>
      </c>
      <c r="G912">
        <v>0</v>
      </c>
      <c r="H912" s="1" t="s">
        <v>709</v>
      </c>
      <c r="I912" t="s">
        <v>322</v>
      </c>
    </row>
    <row r="913" spans="1:9" ht="33">
      <c r="A913" t="str">
        <f t="shared" si="69"/>
        <v>285</v>
      </c>
      <c r="B913" t="s">
        <v>860</v>
      </c>
      <c r="C913" t="str">
        <f>"182360"</f>
        <v>182360</v>
      </c>
      <c r="D913" t="s">
        <v>710</v>
      </c>
      <c r="E913">
        <v>2292</v>
      </c>
      <c r="F913">
        <v>0</v>
      </c>
      <c r="G913">
        <v>0</v>
      </c>
      <c r="H913" s="1" t="s">
        <v>711</v>
      </c>
      <c r="I913" t="s">
        <v>322</v>
      </c>
    </row>
    <row r="914" spans="1:9">
      <c r="A914" t="str">
        <f>"350"</f>
        <v>350</v>
      </c>
      <c r="B914" t="s">
        <v>863</v>
      </c>
      <c r="C914" t="str">
        <f>"004080"</f>
        <v>004080</v>
      </c>
      <c r="D914" t="s">
        <v>461</v>
      </c>
      <c r="E914">
        <v>1406</v>
      </c>
      <c r="F914">
        <v>0</v>
      </c>
      <c r="G914">
        <v>0</v>
      </c>
    </row>
    <row r="915" spans="1:9">
      <c r="A915" t="str">
        <f>"350"</f>
        <v>350</v>
      </c>
      <c r="B915" t="s">
        <v>863</v>
      </c>
      <c r="C915" t="str">
        <f>"100120"</f>
        <v>100120</v>
      </c>
      <c r="D915" t="s">
        <v>230</v>
      </c>
      <c r="E915">
        <v>2986</v>
      </c>
      <c r="F915">
        <v>0</v>
      </c>
      <c r="G915">
        <v>0</v>
      </c>
    </row>
    <row r="916" spans="1:9">
      <c r="A916" t="str">
        <f>"350"</f>
        <v>350</v>
      </c>
      <c r="B916" t="s">
        <v>863</v>
      </c>
      <c r="C916" t="str">
        <f>"039840"</f>
        <v>039840</v>
      </c>
      <c r="D916" t="s">
        <v>864</v>
      </c>
      <c r="E916">
        <v>3057</v>
      </c>
      <c r="F916">
        <v>0</v>
      </c>
      <c r="G916">
        <v>0</v>
      </c>
    </row>
    <row r="917" spans="1:9">
      <c r="A917" t="str">
        <f>"350"</f>
        <v>350</v>
      </c>
      <c r="B917" t="s">
        <v>863</v>
      </c>
      <c r="C917" t="str">
        <f>"043150"</f>
        <v>043150</v>
      </c>
      <c r="D917" t="s">
        <v>865</v>
      </c>
      <c r="E917">
        <v>4701</v>
      </c>
      <c r="F917">
        <v>0</v>
      </c>
      <c r="G917">
        <v>0</v>
      </c>
    </row>
    <row r="918" spans="1:9" ht="99">
      <c r="A918" t="str">
        <f>"350"</f>
        <v>350</v>
      </c>
      <c r="B918" t="s">
        <v>863</v>
      </c>
      <c r="C918" t="str">
        <f>"228670"</f>
        <v>228670</v>
      </c>
      <c r="D918" t="s">
        <v>866</v>
      </c>
      <c r="E918">
        <v>3350</v>
      </c>
      <c r="F918">
        <v>0</v>
      </c>
      <c r="G918">
        <v>0</v>
      </c>
      <c r="H918" s="1" t="s">
        <v>867</v>
      </c>
      <c r="I918" t="s">
        <v>322</v>
      </c>
    </row>
    <row r="919" spans="1:9" ht="82.5">
      <c r="A919" t="str">
        <f>"350"</f>
        <v>350</v>
      </c>
      <c r="B919" t="s">
        <v>863</v>
      </c>
      <c r="C919" t="str">
        <f>"048260"</f>
        <v>048260</v>
      </c>
      <c r="D919" t="s">
        <v>599</v>
      </c>
      <c r="E919">
        <v>20120</v>
      </c>
      <c r="F919">
        <v>0</v>
      </c>
      <c r="G919">
        <v>0</v>
      </c>
      <c r="H919" s="1" t="s">
        <v>868</v>
      </c>
      <c r="I919" t="s">
        <v>322</v>
      </c>
    </row>
    <row r="920" spans="1:9">
      <c r="A920" t="str">
        <f t="shared" ref="A920:A925" si="70">"223"</f>
        <v>223</v>
      </c>
      <c r="B920" t="s">
        <v>869</v>
      </c>
      <c r="C920" t="str">
        <f>"009540"</f>
        <v>009540</v>
      </c>
      <c r="D920" t="s">
        <v>270</v>
      </c>
      <c r="E920">
        <v>51947</v>
      </c>
      <c r="F920">
        <v>0</v>
      </c>
      <c r="G920">
        <v>0</v>
      </c>
    </row>
    <row r="921" spans="1:9">
      <c r="A921" t="str">
        <f t="shared" si="70"/>
        <v>223</v>
      </c>
      <c r="B921" t="s">
        <v>869</v>
      </c>
      <c r="C921" t="str">
        <f>"042660"</f>
        <v>042660</v>
      </c>
      <c r="D921" t="s">
        <v>761</v>
      </c>
      <c r="E921">
        <v>19205</v>
      </c>
      <c r="F921">
        <v>0</v>
      </c>
      <c r="G921">
        <v>0</v>
      </c>
    </row>
    <row r="922" spans="1:9">
      <c r="A922" t="str">
        <f t="shared" si="70"/>
        <v>223</v>
      </c>
      <c r="B922" t="s">
        <v>869</v>
      </c>
      <c r="C922" t="str">
        <f>"097230"</f>
        <v>097230</v>
      </c>
      <c r="D922" t="s">
        <v>785</v>
      </c>
      <c r="E922">
        <v>3181</v>
      </c>
      <c r="F922">
        <v>0</v>
      </c>
      <c r="G922">
        <v>0</v>
      </c>
    </row>
    <row r="923" spans="1:9">
      <c r="A923" t="str">
        <f t="shared" si="70"/>
        <v>223</v>
      </c>
      <c r="B923" t="s">
        <v>869</v>
      </c>
      <c r="C923" t="str">
        <f>"010140"</f>
        <v>010140</v>
      </c>
      <c r="D923" t="s">
        <v>762</v>
      </c>
      <c r="E923">
        <v>43428</v>
      </c>
      <c r="F923">
        <v>0</v>
      </c>
      <c r="G923">
        <v>0</v>
      </c>
    </row>
    <row r="924" spans="1:9">
      <c r="A924" t="str">
        <f t="shared" si="70"/>
        <v>223</v>
      </c>
      <c r="B924" t="s">
        <v>869</v>
      </c>
      <c r="C924" t="str">
        <f>"082740"</f>
        <v>082740</v>
      </c>
      <c r="D924" t="s">
        <v>763</v>
      </c>
      <c r="E924">
        <v>4922</v>
      </c>
      <c r="F924">
        <v>0</v>
      </c>
      <c r="G924">
        <v>0</v>
      </c>
    </row>
    <row r="925" spans="1:9">
      <c r="A925" t="str">
        <f t="shared" si="70"/>
        <v>223</v>
      </c>
      <c r="B925" t="s">
        <v>869</v>
      </c>
      <c r="C925" t="str">
        <f>"010620"</f>
        <v>010620</v>
      </c>
      <c r="D925" t="s">
        <v>870</v>
      </c>
      <c r="E925">
        <v>29917</v>
      </c>
      <c r="F925">
        <v>0</v>
      </c>
      <c r="G925">
        <v>0</v>
      </c>
    </row>
    <row r="926" spans="1:9">
      <c r="A926" t="str">
        <f t="shared" ref="A926:A937" si="71">"810"</f>
        <v>810</v>
      </c>
      <c r="B926" t="s">
        <v>871</v>
      </c>
      <c r="C926" t="str">
        <f>"017040"</f>
        <v>017040</v>
      </c>
      <c r="D926" t="s">
        <v>872</v>
      </c>
      <c r="E926">
        <v>938</v>
      </c>
      <c r="F926">
        <v>0</v>
      </c>
      <c r="G926">
        <v>0</v>
      </c>
    </row>
    <row r="927" spans="1:9">
      <c r="A927" t="str">
        <f t="shared" si="71"/>
        <v>810</v>
      </c>
      <c r="B927" t="s">
        <v>871</v>
      </c>
      <c r="C927" t="str">
        <f>"040160"</f>
        <v>040160</v>
      </c>
      <c r="D927" t="s">
        <v>873</v>
      </c>
      <c r="E927">
        <v>579</v>
      </c>
      <c r="F927">
        <v>0</v>
      </c>
      <c r="G927">
        <v>0</v>
      </c>
    </row>
    <row r="928" spans="1:9">
      <c r="A928" t="str">
        <f t="shared" si="71"/>
        <v>810</v>
      </c>
      <c r="B928" t="s">
        <v>871</v>
      </c>
      <c r="C928" t="str">
        <f>"057540"</f>
        <v>057540</v>
      </c>
      <c r="D928" t="s">
        <v>874</v>
      </c>
      <c r="E928">
        <v>713</v>
      </c>
      <c r="F928">
        <v>0</v>
      </c>
      <c r="G928">
        <v>0</v>
      </c>
    </row>
    <row r="929" spans="1:9">
      <c r="A929" t="str">
        <f t="shared" si="71"/>
        <v>810</v>
      </c>
      <c r="B929" t="s">
        <v>871</v>
      </c>
      <c r="C929" t="str">
        <f>"001820"</f>
        <v>001820</v>
      </c>
      <c r="D929" t="s">
        <v>118</v>
      </c>
      <c r="E929">
        <v>3649</v>
      </c>
      <c r="F929">
        <v>0</v>
      </c>
      <c r="G929">
        <v>0</v>
      </c>
    </row>
    <row r="930" spans="1:9">
      <c r="A930" t="str">
        <f t="shared" si="71"/>
        <v>810</v>
      </c>
      <c r="B930" t="s">
        <v>871</v>
      </c>
      <c r="C930" t="str">
        <f>"004800"</f>
        <v>004800</v>
      </c>
      <c r="D930" t="s">
        <v>748</v>
      </c>
      <c r="E930">
        <v>13717</v>
      </c>
      <c r="F930">
        <v>0</v>
      </c>
      <c r="G930">
        <v>0</v>
      </c>
    </row>
    <row r="931" spans="1:9">
      <c r="A931" t="str">
        <f t="shared" si="71"/>
        <v>810</v>
      </c>
      <c r="B931" t="s">
        <v>871</v>
      </c>
      <c r="C931" t="str">
        <f>"002230"</f>
        <v>002230</v>
      </c>
      <c r="D931" t="s">
        <v>875</v>
      </c>
      <c r="E931">
        <v>733</v>
      </c>
      <c r="F931">
        <v>0</v>
      </c>
      <c r="G931">
        <v>0</v>
      </c>
    </row>
    <row r="932" spans="1:9">
      <c r="A932" t="str">
        <f t="shared" si="71"/>
        <v>810</v>
      </c>
      <c r="B932" t="s">
        <v>871</v>
      </c>
      <c r="C932" t="str">
        <f>"080530"</f>
        <v>080530</v>
      </c>
      <c r="D932" t="s">
        <v>876</v>
      </c>
      <c r="E932">
        <v>375</v>
      </c>
      <c r="F932">
        <v>0</v>
      </c>
      <c r="G932">
        <v>0</v>
      </c>
    </row>
    <row r="933" spans="1:9">
      <c r="A933" t="str">
        <f t="shared" si="71"/>
        <v>810</v>
      </c>
      <c r="B933" t="s">
        <v>871</v>
      </c>
      <c r="C933" t="str">
        <f>"103590"</f>
        <v>103590</v>
      </c>
      <c r="D933" t="s">
        <v>877</v>
      </c>
      <c r="E933">
        <v>1895</v>
      </c>
      <c r="F933">
        <v>0</v>
      </c>
      <c r="G933">
        <v>0</v>
      </c>
    </row>
    <row r="934" spans="1:9">
      <c r="A934" t="str">
        <f t="shared" si="71"/>
        <v>810</v>
      </c>
      <c r="B934" t="s">
        <v>871</v>
      </c>
      <c r="C934" t="str">
        <f>"006260"</f>
        <v>006260</v>
      </c>
      <c r="D934" t="s">
        <v>878</v>
      </c>
      <c r="E934">
        <v>20769</v>
      </c>
      <c r="F934">
        <v>0</v>
      </c>
      <c r="G934">
        <v>0</v>
      </c>
    </row>
    <row r="935" spans="1:9">
      <c r="A935" t="str">
        <f t="shared" si="71"/>
        <v>810</v>
      </c>
      <c r="B935" t="s">
        <v>871</v>
      </c>
      <c r="C935" t="str">
        <f>"022100"</f>
        <v>022100</v>
      </c>
      <c r="D935" t="s">
        <v>517</v>
      </c>
      <c r="E935">
        <v>8970</v>
      </c>
      <c r="F935">
        <v>0</v>
      </c>
      <c r="G935">
        <v>0</v>
      </c>
    </row>
    <row r="936" spans="1:9">
      <c r="A936" t="str">
        <f t="shared" si="71"/>
        <v>810</v>
      </c>
      <c r="B936" t="s">
        <v>871</v>
      </c>
      <c r="C936" t="str">
        <f>"054220"</f>
        <v>054220</v>
      </c>
      <c r="D936" t="s">
        <v>879</v>
      </c>
      <c r="E936">
        <v>216</v>
      </c>
      <c r="F936">
        <v>0</v>
      </c>
      <c r="G936">
        <v>0</v>
      </c>
    </row>
    <row r="937" spans="1:9">
      <c r="A937" t="str">
        <f t="shared" si="71"/>
        <v>810</v>
      </c>
      <c r="B937" t="s">
        <v>871</v>
      </c>
      <c r="C937" t="str">
        <f>"010120"</f>
        <v>010120</v>
      </c>
      <c r="D937" t="s">
        <v>691</v>
      </c>
      <c r="E937">
        <v>14850</v>
      </c>
      <c r="F937">
        <v>0</v>
      </c>
      <c r="G937">
        <v>0</v>
      </c>
    </row>
    <row r="938" spans="1:9">
      <c r="A938" t="str">
        <f>"221"</f>
        <v>221</v>
      </c>
      <c r="B938" t="s">
        <v>880</v>
      </c>
      <c r="C938" t="str">
        <f>"108380"</f>
        <v>108380</v>
      </c>
      <c r="D938" t="s">
        <v>783</v>
      </c>
      <c r="E938">
        <v>1119</v>
      </c>
      <c r="F938">
        <v>0</v>
      </c>
      <c r="G938">
        <v>0</v>
      </c>
    </row>
    <row r="939" spans="1:9">
      <c r="A939" t="str">
        <f>"221"</f>
        <v>221</v>
      </c>
      <c r="B939" t="s">
        <v>880</v>
      </c>
      <c r="C939" t="str">
        <f>"014940"</f>
        <v>014940</v>
      </c>
      <c r="D939" t="s">
        <v>881</v>
      </c>
      <c r="E939">
        <v>1037</v>
      </c>
      <c r="F939">
        <v>0</v>
      </c>
      <c r="G939">
        <v>0</v>
      </c>
    </row>
    <row r="940" spans="1:9">
      <c r="A940" t="str">
        <f>"221"</f>
        <v>221</v>
      </c>
      <c r="B940" t="s">
        <v>880</v>
      </c>
      <c r="C940" t="str">
        <f>"100090"</f>
        <v>100090</v>
      </c>
      <c r="D940" t="s">
        <v>882</v>
      </c>
      <c r="E940">
        <v>9662</v>
      </c>
      <c r="F940">
        <v>0</v>
      </c>
      <c r="G940">
        <v>0</v>
      </c>
    </row>
    <row r="941" spans="1:9" ht="66">
      <c r="A941" t="str">
        <f>"140"</f>
        <v>140</v>
      </c>
      <c r="B941" t="s">
        <v>883</v>
      </c>
      <c r="C941" t="str">
        <f>"096770"</f>
        <v>096770</v>
      </c>
      <c r="D941" t="s">
        <v>720</v>
      </c>
      <c r="E941">
        <v>136849</v>
      </c>
      <c r="F941">
        <v>0</v>
      </c>
      <c r="G941">
        <v>0</v>
      </c>
      <c r="H941" s="1" t="s">
        <v>884</v>
      </c>
      <c r="I941" t="s">
        <v>12</v>
      </c>
    </row>
    <row r="942" spans="1:9">
      <c r="A942" t="str">
        <f>"140"</f>
        <v>140</v>
      </c>
      <c r="B942" t="s">
        <v>883</v>
      </c>
      <c r="C942" t="str">
        <f>"051910"</f>
        <v>051910</v>
      </c>
      <c r="D942" t="s">
        <v>649</v>
      </c>
      <c r="E942">
        <v>410142</v>
      </c>
      <c r="F942">
        <v>0</v>
      </c>
      <c r="G942">
        <v>0</v>
      </c>
      <c r="I942" t="s">
        <v>12</v>
      </c>
    </row>
    <row r="943" spans="1:9" ht="49.5">
      <c r="A943" t="str">
        <f>"140"</f>
        <v>140</v>
      </c>
      <c r="B943" t="s">
        <v>883</v>
      </c>
      <c r="C943" t="str">
        <f>"006400"</f>
        <v>006400</v>
      </c>
      <c r="D943" t="s">
        <v>689</v>
      </c>
      <c r="E943">
        <v>400897</v>
      </c>
      <c r="F943">
        <v>0</v>
      </c>
      <c r="G943">
        <v>0</v>
      </c>
      <c r="H943" s="1" t="s">
        <v>690</v>
      </c>
      <c r="I943" t="s">
        <v>12</v>
      </c>
    </row>
    <row r="944" spans="1:9">
      <c r="A944" t="str">
        <f>"220"</f>
        <v>220</v>
      </c>
      <c r="B944" t="s">
        <v>885</v>
      </c>
      <c r="C944" t="str">
        <f>"033500"</f>
        <v>033500</v>
      </c>
      <c r="D944" t="s">
        <v>886</v>
      </c>
      <c r="E944">
        <v>3081</v>
      </c>
      <c r="F944">
        <v>0</v>
      </c>
      <c r="G944">
        <v>0</v>
      </c>
    </row>
    <row r="945" spans="1:9">
      <c r="A945" t="str">
        <f>"220"</f>
        <v>220</v>
      </c>
      <c r="B945" t="s">
        <v>885</v>
      </c>
      <c r="C945" t="str">
        <f>"017960"</f>
        <v>017960</v>
      </c>
      <c r="D945" t="s">
        <v>887</v>
      </c>
      <c r="E945">
        <v>4616</v>
      </c>
      <c r="F945">
        <v>0</v>
      </c>
      <c r="G945">
        <v>0</v>
      </c>
    </row>
    <row r="946" spans="1:9">
      <c r="A946" t="str">
        <f t="shared" ref="A946:A953" si="72">"562"</f>
        <v>562</v>
      </c>
      <c r="B946" t="s">
        <v>888</v>
      </c>
      <c r="C946" t="str">
        <f>"027580"</f>
        <v>027580</v>
      </c>
      <c r="D946" t="s">
        <v>225</v>
      </c>
      <c r="E946">
        <v>826</v>
      </c>
      <c r="F946">
        <v>0</v>
      </c>
      <c r="G946">
        <v>0</v>
      </c>
    </row>
    <row r="947" spans="1:9">
      <c r="A947" t="str">
        <f t="shared" si="72"/>
        <v>562</v>
      </c>
      <c r="B947" t="s">
        <v>888</v>
      </c>
      <c r="C947" t="str">
        <f>"041520"</f>
        <v>041520</v>
      </c>
      <c r="D947" t="s">
        <v>200</v>
      </c>
      <c r="E947">
        <v>597</v>
      </c>
      <c r="F947">
        <v>0</v>
      </c>
      <c r="G947">
        <v>0</v>
      </c>
    </row>
    <row r="948" spans="1:9">
      <c r="A948" t="str">
        <f t="shared" si="72"/>
        <v>562</v>
      </c>
      <c r="B948" t="s">
        <v>888</v>
      </c>
      <c r="C948" t="str">
        <f>"004710"</f>
        <v>004710</v>
      </c>
      <c r="D948" t="s">
        <v>215</v>
      </c>
      <c r="E948">
        <v>1628</v>
      </c>
      <c r="F948">
        <v>0</v>
      </c>
      <c r="G948">
        <v>0</v>
      </c>
    </row>
    <row r="949" spans="1:9">
      <c r="A949" t="str">
        <f t="shared" si="72"/>
        <v>562</v>
      </c>
      <c r="B949" t="s">
        <v>888</v>
      </c>
      <c r="C949" t="str">
        <f>"073110"</f>
        <v>073110</v>
      </c>
      <c r="D949" t="s">
        <v>232</v>
      </c>
      <c r="E949">
        <v>600</v>
      </c>
      <c r="F949">
        <v>0</v>
      </c>
      <c r="G949">
        <v>0</v>
      </c>
    </row>
    <row r="950" spans="1:9">
      <c r="A950" t="str">
        <f t="shared" si="72"/>
        <v>562</v>
      </c>
      <c r="B950" t="s">
        <v>888</v>
      </c>
      <c r="C950" t="str">
        <f>"095500"</f>
        <v>095500</v>
      </c>
      <c r="D950" t="s">
        <v>317</v>
      </c>
      <c r="E950">
        <v>4605</v>
      </c>
      <c r="F950">
        <v>0</v>
      </c>
      <c r="G950">
        <v>0</v>
      </c>
    </row>
    <row r="951" spans="1:9">
      <c r="A951" t="str">
        <f t="shared" si="72"/>
        <v>562</v>
      </c>
      <c r="B951" t="s">
        <v>888</v>
      </c>
      <c r="C951" t="str">
        <f>"056700"</f>
        <v>056700</v>
      </c>
      <c r="D951" t="s">
        <v>889</v>
      </c>
      <c r="E951">
        <v>903</v>
      </c>
      <c r="F951">
        <v>0</v>
      </c>
      <c r="G951">
        <v>0</v>
      </c>
    </row>
    <row r="952" spans="1:9">
      <c r="A952" t="str">
        <f t="shared" si="72"/>
        <v>562</v>
      </c>
      <c r="B952" t="s">
        <v>888</v>
      </c>
      <c r="C952" t="str">
        <f>"108320"</f>
        <v>108320</v>
      </c>
      <c r="D952" t="s">
        <v>162</v>
      </c>
      <c r="E952">
        <v>11840</v>
      </c>
      <c r="F952">
        <v>0</v>
      </c>
      <c r="G952">
        <v>0</v>
      </c>
    </row>
    <row r="953" spans="1:9">
      <c r="A953" t="str">
        <f t="shared" si="72"/>
        <v>562</v>
      </c>
      <c r="B953" t="s">
        <v>888</v>
      </c>
      <c r="C953" t="str">
        <f>"121850"</f>
        <v>121850</v>
      </c>
      <c r="D953" t="s">
        <v>890</v>
      </c>
      <c r="E953">
        <v>370</v>
      </c>
      <c r="F953">
        <v>0</v>
      </c>
      <c r="G953">
        <v>0</v>
      </c>
    </row>
    <row r="954" spans="1:9">
      <c r="A954" t="str">
        <f t="shared" ref="A954:A959" si="73">"800"</f>
        <v>800</v>
      </c>
      <c r="B954" t="s">
        <v>891</v>
      </c>
      <c r="C954" t="str">
        <f>"119650"</f>
        <v>119650</v>
      </c>
      <c r="D954" t="s">
        <v>834</v>
      </c>
      <c r="E954">
        <v>276</v>
      </c>
      <c r="F954">
        <v>0</v>
      </c>
      <c r="G954">
        <v>0</v>
      </c>
    </row>
    <row r="955" spans="1:9">
      <c r="A955" t="str">
        <f t="shared" si="73"/>
        <v>800</v>
      </c>
      <c r="B955" t="s">
        <v>891</v>
      </c>
      <c r="C955" t="str">
        <f>"069260"</f>
        <v>069260</v>
      </c>
      <c r="D955" t="s">
        <v>892</v>
      </c>
      <c r="E955">
        <v>7808</v>
      </c>
      <c r="F955">
        <v>0</v>
      </c>
      <c r="G955">
        <v>0</v>
      </c>
    </row>
    <row r="956" spans="1:9">
      <c r="A956" t="str">
        <f t="shared" si="73"/>
        <v>800</v>
      </c>
      <c r="B956" t="s">
        <v>891</v>
      </c>
      <c r="C956" t="str">
        <f>"034020"</f>
        <v>034020</v>
      </c>
      <c r="D956" t="s">
        <v>776</v>
      </c>
      <c r="E956">
        <v>96704</v>
      </c>
      <c r="F956">
        <v>0</v>
      </c>
      <c r="G956">
        <v>0</v>
      </c>
    </row>
    <row r="957" spans="1:9">
      <c r="A957" t="str">
        <f t="shared" si="73"/>
        <v>800</v>
      </c>
      <c r="B957" t="s">
        <v>891</v>
      </c>
      <c r="C957" t="str">
        <f>"001120"</f>
        <v>001120</v>
      </c>
      <c r="D957" t="s">
        <v>722</v>
      </c>
      <c r="E957">
        <v>12306</v>
      </c>
      <c r="F957">
        <v>0</v>
      </c>
      <c r="G957">
        <v>0</v>
      </c>
    </row>
    <row r="958" spans="1:9">
      <c r="A958" t="str">
        <f t="shared" si="73"/>
        <v>800</v>
      </c>
      <c r="B958" t="s">
        <v>891</v>
      </c>
      <c r="C958" t="str">
        <f>"093370"</f>
        <v>093370</v>
      </c>
      <c r="D958" t="s">
        <v>664</v>
      </c>
      <c r="E958">
        <v>10048</v>
      </c>
      <c r="F958">
        <v>0</v>
      </c>
      <c r="G958">
        <v>0</v>
      </c>
    </row>
    <row r="959" spans="1:9" ht="65.25" customHeight="1">
      <c r="A959" t="str">
        <f t="shared" si="73"/>
        <v>800</v>
      </c>
      <c r="B959" t="s">
        <v>891</v>
      </c>
      <c r="C959" t="str">
        <f>"086520"</f>
        <v>086520</v>
      </c>
      <c r="D959" t="s">
        <v>656</v>
      </c>
      <c r="E959">
        <v>27807</v>
      </c>
      <c r="F959">
        <v>0</v>
      </c>
      <c r="G959">
        <v>0</v>
      </c>
      <c r="H959" s="4" t="s">
        <v>657</v>
      </c>
      <c r="I959" t="s">
        <v>322</v>
      </c>
    </row>
    <row r="960" spans="1:9">
      <c r="A960" t="str">
        <f>"316"</f>
        <v>316</v>
      </c>
      <c r="B960" t="s">
        <v>893</v>
      </c>
      <c r="C960" t="str">
        <f>"007310"</f>
        <v>007310</v>
      </c>
      <c r="D960" t="s">
        <v>894</v>
      </c>
      <c r="E960">
        <v>18155</v>
      </c>
      <c r="F960">
        <v>0</v>
      </c>
      <c r="G960">
        <v>0</v>
      </c>
    </row>
    <row r="961" spans="1:7">
      <c r="A961" t="str">
        <f>"316"</f>
        <v>316</v>
      </c>
      <c r="B961" t="s">
        <v>893</v>
      </c>
      <c r="C961" t="str">
        <f>"004370"</f>
        <v>004370</v>
      </c>
      <c r="D961" t="s">
        <v>525</v>
      </c>
      <c r="E961">
        <v>20499</v>
      </c>
      <c r="F961">
        <v>0</v>
      </c>
      <c r="G961">
        <v>0</v>
      </c>
    </row>
    <row r="962" spans="1:7">
      <c r="A962" t="str">
        <f>"316"</f>
        <v>316</v>
      </c>
      <c r="B962" t="s">
        <v>893</v>
      </c>
      <c r="C962" t="str">
        <f>"003230"</f>
        <v>003230</v>
      </c>
      <c r="D962" t="s">
        <v>895</v>
      </c>
      <c r="E962">
        <v>8738</v>
      </c>
      <c r="F962">
        <v>0</v>
      </c>
      <c r="G962">
        <v>0</v>
      </c>
    </row>
    <row r="963" spans="1:7">
      <c r="A963" t="str">
        <f>"501"</f>
        <v>501</v>
      </c>
      <c r="B963" t="s">
        <v>896</v>
      </c>
      <c r="C963" t="str">
        <f>"131400"</f>
        <v>131400</v>
      </c>
      <c r="D963" t="s">
        <v>897</v>
      </c>
      <c r="E963">
        <v>561</v>
      </c>
      <c r="F963">
        <v>0</v>
      </c>
      <c r="G963">
        <v>0</v>
      </c>
    </row>
    <row r="964" spans="1:7">
      <c r="A964" t="str">
        <f>"501"</f>
        <v>501</v>
      </c>
      <c r="B964" t="s">
        <v>896</v>
      </c>
      <c r="C964" t="str">
        <f>"051370"</f>
        <v>051370</v>
      </c>
      <c r="D964" t="s">
        <v>202</v>
      </c>
      <c r="E964">
        <v>2155</v>
      </c>
      <c r="F964">
        <v>0</v>
      </c>
      <c r="G964">
        <v>0</v>
      </c>
    </row>
    <row r="965" spans="1:7">
      <c r="A965" t="str">
        <f>"501"</f>
        <v>501</v>
      </c>
      <c r="B965" t="s">
        <v>896</v>
      </c>
      <c r="C965" t="str">
        <f>"088390"</f>
        <v>088390</v>
      </c>
      <c r="D965" t="s">
        <v>237</v>
      </c>
      <c r="E965">
        <v>2131</v>
      </c>
      <c r="F965">
        <v>0</v>
      </c>
      <c r="G965">
        <v>0</v>
      </c>
    </row>
    <row r="966" spans="1:7">
      <c r="A966" t="str">
        <f>"501"</f>
        <v>501</v>
      </c>
      <c r="B966" t="s">
        <v>896</v>
      </c>
      <c r="C966" t="str">
        <f>"090460"</f>
        <v>090460</v>
      </c>
      <c r="D966" t="s">
        <v>457</v>
      </c>
      <c r="E966">
        <v>7203</v>
      </c>
      <c r="F966">
        <v>0</v>
      </c>
      <c r="G966">
        <v>0</v>
      </c>
    </row>
    <row r="967" spans="1:7">
      <c r="A967" t="str">
        <f>"501"</f>
        <v>501</v>
      </c>
      <c r="B967" t="s">
        <v>896</v>
      </c>
      <c r="C967" t="str">
        <f>"085670"</f>
        <v>085670</v>
      </c>
      <c r="D967" t="s">
        <v>640</v>
      </c>
      <c r="E967">
        <v>1557</v>
      </c>
      <c r="F967">
        <v>0</v>
      </c>
      <c r="G96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오분매</dc:creator>
  <cp:keywords/>
  <dc:description/>
  <cp:lastModifiedBy/>
  <cp:revision/>
  <dcterms:created xsi:type="dcterms:W3CDTF">2023-01-05T06:35:06Z</dcterms:created>
  <dcterms:modified xsi:type="dcterms:W3CDTF">2023-01-20T04:19:34Z</dcterms:modified>
  <cp:category/>
  <cp:contentStatus/>
</cp:coreProperties>
</file>