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eur\Desktop\EXCEL ELITE\"/>
    </mc:Choice>
  </mc:AlternateContent>
  <xr:revisionPtr revIDLastSave="0" documentId="13_ncr:1_{B6EE7ADA-F999-4111-8766-6D907C339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shboard" sheetId="1" r:id="rId1"/>
    <sheet name="DB_Patients" sheetId="3" r:id="rId2"/>
    <sheet name="DB_Appareils" sheetId="4" r:id="rId3"/>
    <sheet name="DB_Locations" sheetId="5" r:id="rId4"/>
    <sheet name="DB_Paiements" sheetId="6" r:id="rId5"/>
    <sheet name="Lookups" sheetId="7" state="hidden" r:id="rId6"/>
    <sheet name="FichePatient" sheetId="8" r:id="rId7"/>
  </sheets>
  <definedNames>
    <definedName name="_xlnm._FilterDatabase" localSheetId="0" hidden="1">Dashboard!$A$3:$X$185</definedName>
    <definedName name="_xlnm._FilterDatabase" localSheetId="2" hidden="1">DB_Appareils!$A$1:$J$214</definedName>
    <definedName name="_xlnm._FilterDatabase" localSheetId="3" hidden="1">DB_Locations!$A$1:$K$184</definedName>
    <definedName name="_xlnm._FilterDatabase" localSheetId="4" hidden="1">DB_Paiements!$A$1:$H$325</definedName>
    <definedName name="_xlnm._FilterDatabase" localSheetId="1" hidden="1">DB_Patients!$A$1:$Q$261</definedName>
  </definedNames>
  <calcPr calcId="191029"/>
</workbook>
</file>

<file path=xl/calcChain.xml><?xml version="1.0" encoding="utf-8"?>
<calcChain xmlns="http://schemas.openxmlformats.org/spreadsheetml/2006/main">
  <c r="D314" i="6" l="1"/>
  <c r="H314" i="6" s="1" a="1"/>
  <c r="H314" i="6" s="1"/>
  <c r="H312" i="6" a="1"/>
  <c r="H312" i="6" s="1"/>
  <c r="D107" i="6"/>
  <c r="F107" i="6" s="1"/>
  <c r="O160" i="1" s="1" a="1"/>
  <c r="O160" i="1" s="1"/>
  <c r="D104" i="6"/>
  <c r="D17" i="6"/>
  <c r="H313" i="6" a="1"/>
  <c r="H313" i="6" s="1"/>
  <c r="D187" i="6"/>
  <c r="D158" i="6"/>
  <c r="D302" i="6"/>
  <c r="D301" i="6"/>
  <c r="H325" i="6" a="1"/>
  <c r="H325" i="6" s="1"/>
  <c r="F325" i="6"/>
  <c r="M94" i="1"/>
  <c r="Q94" i="1" s="1"/>
  <c r="F108" i="6"/>
  <c r="L59" i="1"/>
  <c r="D311" i="6"/>
  <c r="F311" i="6" s="1"/>
  <c r="O181" i="1" s="1" a="1"/>
  <c r="O181" i="1" s="1"/>
  <c r="D16" i="6"/>
  <c r="H324" i="6" a="1"/>
  <c r="H324" i="6" s="1"/>
  <c r="H322" i="6" a="1"/>
  <c r="H322" i="6" s="1"/>
  <c r="B7" i="1"/>
  <c r="F320" i="6"/>
  <c r="F319" i="6"/>
  <c r="H320" i="6" a="1"/>
  <c r="H320" i="6" s="1"/>
  <c r="B136" i="1"/>
  <c r="V51" i="1"/>
  <c r="M23" i="1"/>
  <c r="H319" i="6" a="1"/>
  <c r="H319" i="6" s="1"/>
  <c r="F318" i="6"/>
  <c r="H318" i="6" a="1"/>
  <c r="H318" i="6" s="1"/>
  <c r="R128" i="1"/>
  <c r="L15" i="1"/>
  <c r="J12" i="1"/>
  <c r="M15" i="1"/>
  <c r="F316" i="6"/>
  <c r="F317" i="6"/>
  <c r="H317" i="6" a="1"/>
  <c r="H317" i="6" s="1"/>
  <c r="H316" i="6" a="1"/>
  <c r="H316" i="6" s="1"/>
  <c r="H315" i="6" a="1"/>
  <c r="H315" i="6" s="1"/>
  <c r="B181" i="1"/>
  <c r="C181" i="1"/>
  <c r="D181" i="1"/>
  <c r="E181" i="1"/>
  <c r="F181" i="1"/>
  <c r="G181" i="1"/>
  <c r="H181" i="1"/>
  <c r="I181" i="1"/>
  <c r="J181" i="1"/>
  <c r="K181" i="1"/>
  <c r="L181" i="1" a="1"/>
  <c r="L181" i="1" s="1"/>
  <c r="N181" i="1" a="1"/>
  <c r="N181" i="1" s="1"/>
  <c r="R181" i="1"/>
  <c r="S181" i="1"/>
  <c r="B182" i="1"/>
  <c r="C182" i="1"/>
  <c r="D182" i="1"/>
  <c r="E182" i="1"/>
  <c r="F182" i="1"/>
  <c r="G182" i="1"/>
  <c r="H182" i="1"/>
  <c r="I182" i="1"/>
  <c r="J182" i="1"/>
  <c r="K182" i="1"/>
  <c r="L182" i="1" a="1"/>
  <c r="L182" i="1" s="1"/>
  <c r="N182" i="1" a="1"/>
  <c r="N182" i="1" s="1"/>
  <c r="R182" i="1"/>
  <c r="S182" i="1"/>
  <c r="B183" i="1"/>
  <c r="C183" i="1"/>
  <c r="D183" i="1"/>
  <c r="E183" i="1"/>
  <c r="F183" i="1"/>
  <c r="G183" i="1"/>
  <c r="H183" i="1"/>
  <c r="I183" i="1"/>
  <c r="J183" i="1"/>
  <c r="K183" i="1"/>
  <c r="L183" i="1" a="1"/>
  <c r="L183" i="1" s="1"/>
  <c r="N183" i="1" a="1"/>
  <c r="N183" i="1" s="1"/>
  <c r="R183" i="1"/>
  <c r="S183" i="1"/>
  <c r="B184" i="1"/>
  <c r="C184" i="1"/>
  <c r="D184" i="1"/>
  <c r="E184" i="1"/>
  <c r="F184" i="1"/>
  <c r="G184" i="1"/>
  <c r="H184" i="1"/>
  <c r="I184" i="1"/>
  <c r="J184" i="1"/>
  <c r="K184" i="1"/>
  <c r="L184" i="1" a="1"/>
  <c r="L184" i="1" s="1"/>
  <c r="N184" i="1" a="1"/>
  <c r="N184" i="1" s="1"/>
  <c r="R184" i="1"/>
  <c r="S184" i="1"/>
  <c r="B185" i="1"/>
  <c r="C185" i="1"/>
  <c r="D185" i="1"/>
  <c r="E185" i="1"/>
  <c r="F185" i="1"/>
  <c r="G185" i="1"/>
  <c r="H185" i="1"/>
  <c r="I185" i="1"/>
  <c r="J185" i="1"/>
  <c r="K185" i="1"/>
  <c r="L185" i="1" a="1"/>
  <c r="L185" i="1" s="1"/>
  <c r="N185" i="1" a="1"/>
  <c r="N185" i="1" s="1"/>
  <c r="R185" i="1"/>
  <c r="S185" i="1"/>
  <c r="B180" i="1"/>
  <c r="C180" i="1"/>
  <c r="D180" i="1"/>
  <c r="E180" i="1"/>
  <c r="F180" i="1"/>
  <c r="G180" i="1"/>
  <c r="H180" i="1"/>
  <c r="I180" i="1"/>
  <c r="J180" i="1"/>
  <c r="K180" i="1"/>
  <c r="L180" i="1" a="1"/>
  <c r="L180" i="1" s="1"/>
  <c r="N180" i="1" a="1"/>
  <c r="N180" i="1" s="1"/>
  <c r="R180" i="1"/>
  <c r="S180" i="1"/>
  <c r="E315" i="6"/>
  <c r="M185" i="1" s="1" a="1"/>
  <c r="M185" i="1" s="1"/>
  <c r="Q185" i="1" s="1"/>
  <c r="M184" i="1" a="1"/>
  <c r="M184" i="1" s="1"/>
  <c r="Q184" i="1" s="1"/>
  <c r="F313" i="6"/>
  <c r="O183" i="1" s="1" a="1"/>
  <c r="O183" i="1" s="1"/>
  <c r="B5" i="1"/>
  <c r="C5" i="1"/>
  <c r="D5" i="1"/>
  <c r="E5" i="1"/>
  <c r="F5" i="1"/>
  <c r="G5" i="1"/>
  <c r="H5" i="1"/>
  <c r="I5" i="1"/>
  <c r="J5" i="1"/>
  <c r="K5" i="1"/>
  <c r="L5" i="1" a="1"/>
  <c r="L5" i="1" s="1"/>
  <c r="M5" i="1" a="1"/>
  <c r="M5" i="1" s="1"/>
  <c r="Q5" i="1" s="1"/>
  <c r="N5" i="1" a="1"/>
  <c r="N5" i="1" s="1"/>
  <c r="R5" i="1"/>
  <c r="S5" i="1"/>
  <c r="V5" i="1"/>
  <c r="B41" i="1"/>
  <c r="C41" i="1"/>
  <c r="D41" i="1"/>
  <c r="E41" i="1"/>
  <c r="F41" i="1"/>
  <c r="G41" i="1"/>
  <c r="H41" i="1"/>
  <c r="I41" i="1"/>
  <c r="J41" i="1"/>
  <c r="K41" i="1"/>
  <c r="L41" i="1" a="1"/>
  <c r="L41" i="1" s="1"/>
  <c r="M41" i="1" a="1"/>
  <c r="M41" i="1" s="1"/>
  <c r="Q41" i="1" s="1"/>
  <c r="N41" i="1" a="1"/>
  <c r="N41" i="1" s="1"/>
  <c r="R41" i="1"/>
  <c r="S41" i="1"/>
  <c r="V41" i="1"/>
  <c r="C7" i="1"/>
  <c r="D7" i="1"/>
  <c r="E7" i="1"/>
  <c r="F7" i="1"/>
  <c r="G7" i="1"/>
  <c r="H7" i="1"/>
  <c r="I7" i="1"/>
  <c r="J7" i="1"/>
  <c r="K7" i="1"/>
  <c r="L7" i="1" a="1"/>
  <c r="L7" i="1" s="1"/>
  <c r="M7" i="1" a="1"/>
  <c r="M7" i="1" s="1"/>
  <c r="Q7" i="1" s="1"/>
  <c r="N7" i="1" a="1"/>
  <c r="N7" i="1" s="1"/>
  <c r="R7" i="1"/>
  <c r="S7" i="1"/>
  <c r="V7" i="1"/>
  <c r="B8" i="1"/>
  <c r="C8" i="1"/>
  <c r="D8" i="1"/>
  <c r="E8" i="1"/>
  <c r="F8" i="1"/>
  <c r="G8" i="1"/>
  <c r="H8" i="1"/>
  <c r="I8" i="1"/>
  <c r="J8" i="1"/>
  <c r="K8" i="1"/>
  <c r="L8" i="1" a="1"/>
  <c r="L8" i="1" s="1"/>
  <c r="M8" i="1" a="1"/>
  <c r="M8" i="1" s="1"/>
  <c r="Q8" i="1" s="1"/>
  <c r="N8" i="1" a="1"/>
  <c r="N8" i="1" s="1"/>
  <c r="R8" i="1"/>
  <c r="S8" i="1"/>
  <c r="B42" i="1"/>
  <c r="C42" i="1"/>
  <c r="D42" i="1"/>
  <c r="E42" i="1"/>
  <c r="F42" i="1"/>
  <c r="G42" i="1"/>
  <c r="H42" i="1"/>
  <c r="I42" i="1"/>
  <c r="J42" i="1"/>
  <c r="K42" i="1"/>
  <c r="L42" i="1" a="1"/>
  <c r="L42" i="1" s="1"/>
  <c r="M42" i="1" a="1"/>
  <c r="M42" i="1" s="1"/>
  <c r="Q42" i="1" s="1"/>
  <c r="N42" i="1" a="1"/>
  <c r="N42" i="1" s="1"/>
  <c r="R42" i="1"/>
  <c r="S42" i="1"/>
  <c r="V42" i="1"/>
  <c r="B10" i="1"/>
  <c r="C10" i="1"/>
  <c r="D10" i="1"/>
  <c r="E10" i="1"/>
  <c r="F10" i="1"/>
  <c r="G10" i="1"/>
  <c r="H10" i="1"/>
  <c r="I10" i="1"/>
  <c r="J10" i="1"/>
  <c r="K10" i="1"/>
  <c r="L10" i="1" a="1"/>
  <c r="L10" i="1" s="1"/>
  <c r="M10" i="1" a="1"/>
  <c r="M10" i="1" s="1"/>
  <c r="Q10" i="1" s="1"/>
  <c r="N10" i="1" a="1"/>
  <c r="N10" i="1" s="1"/>
  <c r="R10" i="1"/>
  <c r="S10" i="1"/>
  <c r="V10" i="1"/>
  <c r="B11" i="1"/>
  <c r="C11" i="1"/>
  <c r="D11" i="1"/>
  <c r="E11" i="1"/>
  <c r="F11" i="1"/>
  <c r="G11" i="1"/>
  <c r="H11" i="1"/>
  <c r="I11" i="1"/>
  <c r="J11" i="1"/>
  <c r="K11" i="1"/>
  <c r="L11" i="1" a="1"/>
  <c r="L11" i="1" s="1"/>
  <c r="M11" i="1" a="1"/>
  <c r="M11" i="1" s="1"/>
  <c r="Q11" i="1" s="1"/>
  <c r="N11" i="1" a="1"/>
  <c r="N11" i="1" s="1"/>
  <c r="R11" i="1"/>
  <c r="S11" i="1"/>
  <c r="V11" i="1"/>
  <c r="B12" i="1"/>
  <c r="C12" i="1"/>
  <c r="D12" i="1"/>
  <c r="E12" i="1"/>
  <c r="F12" i="1"/>
  <c r="G12" i="1"/>
  <c r="H12" i="1"/>
  <c r="I12" i="1"/>
  <c r="K12" i="1"/>
  <c r="L12" i="1" a="1"/>
  <c r="L12" i="1" s="1"/>
  <c r="M12" i="1" a="1"/>
  <c r="M12" i="1" s="1"/>
  <c r="Q12" i="1" s="1"/>
  <c r="N12" i="1" a="1"/>
  <c r="N12" i="1" s="1"/>
  <c r="R12" i="1"/>
  <c r="S12" i="1"/>
  <c r="V12" i="1"/>
  <c r="B13" i="1"/>
  <c r="C13" i="1"/>
  <c r="D13" i="1"/>
  <c r="E13" i="1"/>
  <c r="F13" i="1"/>
  <c r="G13" i="1"/>
  <c r="H13" i="1"/>
  <c r="I13" i="1"/>
  <c r="J13" i="1"/>
  <c r="K13" i="1"/>
  <c r="L13" i="1" a="1"/>
  <c r="L13" i="1" s="1"/>
  <c r="M13" i="1" a="1"/>
  <c r="M13" i="1" s="1"/>
  <c r="Q13" i="1" s="1"/>
  <c r="N13" i="1" a="1"/>
  <c r="N13" i="1" s="1"/>
  <c r="R13" i="1"/>
  <c r="S13" i="1"/>
  <c r="V13" i="1"/>
  <c r="B120" i="1"/>
  <c r="C120" i="1"/>
  <c r="D120" i="1"/>
  <c r="E120" i="1"/>
  <c r="F120" i="1"/>
  <c r="G120" i="1"/>
  <c r="H120" i="1"/>
  <c r="I120" i="1"/>
  <c r="J120" i="1"/>
  <c r="K120" i="1"/>
  <c r="L120" i="1" a="1"/>
  <c r="L120" i="1" s="1"/>
  <c r="M120" i="1" a="1"/>
  <c r="M120" i="1" s="1"/>
  <c r="Q120" i="1" s="1"/>
  <c r="N120" i="1" a="1"/>
  <c r="N120" i="1" s="1"/>
  <c r="R120" i="1"/>
  <c r="S120" i="1"/>
  <c r="V120" i="1"/>
  <c r="B128" i="1"/>
  <c r="C128" i="1"/>
  <c r="D128" i="1"/>
  <c r="E128" i="1"/>
  <c r="F128" i="1"/>
  <c r="G128" i="1"/>
  <c r="H128" i="1"/>
  <c r="I128" i="1"/>
  <c r="J128" i="1"/>
  <c r="K128" i="1"/>
  <c r="L128" i="1" a="1"/>
  <c r="L128" i="1" s="1"/>
  <c r="M128" i="1" a="1"/>
  <c r="M128" i="1" s="1"/>
  <c r="Q128" i="1" s="1"/>
  <c r="N128" i="1" a="1"/>
  <c r="N128" i="1" s="1"/>
  <c r="S128" i="1"/>
  <c r="V128" i="1"/>
  <c r="B19" i="1"/>
  <c r="C19" i="1"/>
  <c r="D19" i="1"/>
  <c r="E19" i="1"/>
  <c r="F19" i="1"/>
  <c r="G19" i="1"/>
  <c r="H19" i="1"/>
  <c r="I19" i="1"/>
  <c r="J19" i="1"/>
  <c r="K19" i="1"/>
  <c r="L19" i="1" a="1"/>
  <c r="L19" i="1" s="1"/>
  <c r="M19" i="1" a="1"/>
  <c r="M19" i="1" s="1"/>
  <c r="Q19" i="1" s="1"/>
  <c r="R19" i="1"/>
  <c r="S19" i="1"/>
  <c r="V19" i="1"/>
  <c r="B69" i="1"/>
  <c r="C69" i="1"/>
  <c r="D69" i="1"/>
  <c r="E69" i="1"/>
  <c r="F69" i="1"/>
  <c r="G69" i="1"/>
  <c r="H69" i="1"/>
  <c r="I69" i="1"/>
  <c r="J69" i="1"/>
  <c r="K69" i="1"/>
  <c r="L69" i="1" a="1"/>
  <c r="L69" i="1" s="1"/>
  <c r="M69" i="1" a="1"/>
  <c r="M69" i="1" s="1"/>
  <c r="Q69" i="1" s="1"/>
  <c r="N69" i="1" a="1"/>
  <c r="N69" i="1" s="1"/>
  <c r="R69" i="1"/>
  <c r="S69" i="1"/>
  <c r="V69" i="1"/>
  <c r="B70" i="1"/>
  <c r="C70" i="1"/>
  <c r="D70" i="1"/>
  <c r="E70" i="1"/>
  <c r="F70" i="1"/>
  <c r="G70" i="1"/>
  <c r="H70" i="1"/>
  <c r="I70" i="1"/>
  <c r="J70" i="1"/>
  <c r="K70" i="1"/>
  <c r="L70" i="1" a="1"/>
  <c r="L70" i="1" s="1"/>
  <c r="M70" i="1" a="1"/>
  <c r="M70" i="1" s="1"/>
  <c r="Q70" i="1" s="1"/>
  <c r="N70" i="1" a="1"/>
  <c r="N70" i="1" s="1"/>
  <c r="R70" i="1"/>
  <c r="S70" i="1"/>
  <c r="V70" i="1"/>
  <c r="B23" i="1"/>
  <c r="C23" i="1"/>
  <c r="D23" i="1"/>
  <c r="E23" i="1"/>
  <c r="F23" i="1"/>
  <c r="G23" i="1"/>
  <c r="H23" i="1"/>
  <c r="I23" i="1"/>
  <c r="J23" i="1"/>
  <c r="K23" i="1"/>
  <c r="L23" i="1" a="1"/>
  <c r="L23" i="1" s="1"/>
  <c r="Q23" i="1"/>
  <c r="N23" i="1" a="1"/>
  <c r="N23" i="1" s="1"/>
  <c r="R23" i="1"/>
  <c r="S23" i="1"/>
  <c r="V23" i="1"/>
  <c r="B26" i="1"/>
  <c r="C26" i="1"/>
  <c r="D26" i="1"/>
  <c r="E26" i="1"/>
  <c r="F26" i="1"/>
  <c r="G26" i="1"/>
  <c r="H26" i="1"/>
  <c r="I26" i="1"/>
  <c r="J26" i="1"/>
  <c r="K26" i="1"/>
  <c r="L26" i="1" a="1"/>
  <c r="L26" i="1" s="1"/>
  <c r="M26" i="1" a="1"/>
  <c r="M26" i="1" s="1"/>
  <c r="Q26" i="1" s="1"/>
  <c r="N26" i="1" a="1"/>
  <c r="N26" i="1" s="1"/>
  <c r="R26" i="1"/>
  <c r="S26" i="1"/>
  <c r="V26" i="1"/>
  <c r="B27" i="1"/>
  <c r="C27" i="1"/>
  <c r="D27" i="1"/>
  <c r="E27" i="1"/>
  <c r="F27" i="1"/>
  <c r="G27" i="1"/>
  <c r="H27" i="1"/>
  <c r="I27" i="1"/>
  <c r="J27" i="1"/>
  <c r="K27" i="1"/>
  <c r="L27" i="1" a="1"/>
  <c r="L27" i="1" s="1"/>
  <c r="M27" i="1" a="1"/>
  <c r="M27" i="1" s="1"/>
  <c r="Q27" i="1" s="1"/>
  <c r="N27" i="1" a="1"/>
  <c r="N27" i="1" s="1"/>
  <c r="R27" i="1"/>
  <c r="S27" i="1"/>
  <c r="V27" i="1"/>
  <c r="B28" i="1"/>
  <c r="C28" i="1"/>
  <c r="D28" i="1"/>
  <c r="E28" i="1"/>
  <c r="F28" i="1"/>
  <c r="G28" i="1"/>
  <c r="H28" i="1"/>
  <c r="I28" i="1"/>
  <c r="J28" i="1"/>
  <c r="K28" i="1"/>
  <c r="L28" i="1" a="1"/>
  <c r="L28" i="1" s="1"/>
  <c r="M28" i="1" a="1"/>
  <c r="M28" i="1" s="1"/>
  <c r="Q28" i="1" s="1"/>
  <c r="N28" i="1" a="1"/>
  <c r="N28" i="1" s="1"/>
  <c r="R28" i="1"/>
  <c r="S28" i="1"/>
  <c r="V28" i="1"/>
  <c r="B29" i="1"/>
  <c r="C29" i="1"/>
  <c r="D29" i="1"/>
  <c r="E29" i="1"/>
  <c r="F29" i="1"/>
  <c r="G29" i="1"/>
  <c r="H29" i="1"/>
  <c r="I29" i="1"/>
  <c r="J29" i="1"/>
  <c r="K29" i="1"/>
  <c r="L29" i="1" a="1"/>
  <c r="L29" i="1" s="1"/>
  <c r="M29" i="1" a="1"/>
  <c r="M29" i="1" s="1"/>
  <c r="Q29" i="1" s="1"/>
  <c r="N29" i="1" a="1"/>
  <c r="N29" i="1" s="1"/>
  <c r="R29" i="1"/>
  <c r="S29" i="1"/>
  <c r="V29" i="1"/>
  <c r="B108" i="1"/>
  <c r="C108" i="1"/>
  <c r="D108" i="1"/>
  <c r="E108" i="1"/>
  <c r="F108" i="1"/>
  <c r="G108" i="1"/>
  <c r="H108" i="1"/>
  <c r="I108" i="1"/>
  <c r="J108" i="1"/>
  <c r="K108" i="1"/>
  <c r="L108" i="1" a="1"/>
  <c r="L108" i="1" s="1"/>
  <c r="M108" i="1" a="1"/>
  <c r="M108" i="1" s="1"/>
  <c r="Q108" i="1" s="1"/>
  <c r="N108" i="1" a="1"/>
  <c r="N108" i="1" s="1"/>
  <c r="R108" i="1"/>
  <c r="S108" i="1"/>
  <c r="V108" i="1"/>
  <c r="B33" i="1"/>
  <c r="C33" i="1"/>
  <c r="D33" i="1"/>
  <c r="E33" i="1"/>
  <c r="F33" i="1"/>
  <c r="G33" i="1"/>
  <c r="H33" i="1"/>
  <c r="I33" i="1"/>
  <c r="J33" i="1"/>
  <c r="K33" i="1"/>
  <c r="L33" i="1" a="1"/>
  <c r="L33" i="1" s="1"/>
  <c r="M33" i="1" a="1"/>
  <c r="M33" i="1" s="1"/>
  <c r="Q33" i="1" s="1"/>
  <c r="N33" i="1" a="1"/>
  <c r="N33" i="1" s="1"/>
  <c r="R33" i="1"/>
  <c r="S33" i="1"/>
  <c r="V33" i="1"/>
  <c r="B6" i="1"/>
  <c r="C6" i="1"/>
  <c r="D6" i="1"/>
  <c r="E6" i="1"/>
  <c r="F6" i="1"/>
  <c r="G6" i="1"/>
  <c r="H6" i="1"/>
  <c r="I6" i="1"/>
  <c r="J6" i="1"/>
  <c r="K6" i="1"/>
  <c r="L6" i="1" a="1"/>
  <c r="L6" i="1" s="1"/>
  <c r="M6" i="1" a="1"/>
  <c r="M6" i="1" s="1"/>
  <c r="Q6" i="1" s="1"/>
  <c r="N6" i="1" a="1"/>
  <c r="N6" i="1" s="1"/>
  <c r="R6" i="1"/>
  <c r="S6" i="1"/>
  <c r="V6" i="1"/>
  <c r="B9" i="1"/>
  <c r="C9" i="1"/>
  <c r="D9" i="1"/>
  <c r="E9" i="1"/>
  <c r="F9" i="1"/>
  <c r="G9" i="1"/>
  <c r="H9" i="1"/>
  <c r="I9" i="1"/>
  <c r="J9" i="1"/>
  <c r="K9" i="1"/>
  <c r="L9" i="1" a="1"/>
  <c r="L9" i="1" s="1"/>
  <c r="M9" i="1" a="1"/>
  <c r="M9" i="1" s="1"/>
  <c r="Q9" i="1" s="1"/>
  <c r="N9" i="1" a="1"/>
  <c r="N9" i="1" s="1"/>
  <c r="R9" i="1"/>
  <c r="S9" i="1"/>
  <c r="V9" i="1"/>
  <c r="B37" i="1"/>
  <c r="C37" i="1"/>
  <c r="D37" i="1"/>
  <c r="E37" i="1"/>
  <c r="F37" i="1"/>
  <c r="G37" i="1"/>
  <c r="H37" i="1"/>
  <c r="I37" i="1"/>
  <c r="J37" i="1"/>
  <c r="K37" i="1"/>
  <c r="L37" i="1" a="1"/>
  <c r="L37" i="1" s="1"/>
  <c r="M37" i="1" a="1"/>
  <c r="M37" i="1" s="1"/>
  <c r="Q37" i="1" s="1"/>
  <c r="N37" i="1" a="1"/>
  <c r="N37" i="1" s="1"/>
  <c r="R37" i="1"/>
  <c r="S37" i="1"/>
  <c r="V37" i="1"/>
  <c r="B51" i="1"/>
  <c r="C51" i="1"/>
  <c r="D51" i="1"/>
  <c r="E51" i="1"/>
  <c r="F51" i="1"/>
  <c r="G51" i="1"/>
  <c r="H51" i="1"/>
  <c r="I51" i="1"/>
  <c r="J51" i="1"/>
  <c r="K51" i="1"/>
  <c r="L51" i="1" a="1"/>
  <c r="L51" i="1" s="1"/>
  <c r="M51" i="1" a="1"/>
  <c r="M51" i="1" s="1"/>
  <c r="Q51" i="1" s="1"/>
  <c r="N51" i="1" a="1"/>
  <c r="N51" i="1" s="1"/>
  <c r="R51" i="1"/>
  <c r="S51" i="1"/>
  <c r="B36" i="1"/>
  <c r="C36" i="1"/>
  <c r="D36" i="1"/>
  <c r="E36" i="1"/>
  <c r="F36" i="1"/>
  <c r="G36" i="1"/>
  <c r="H36" i="1"/>
  <c r="I36" i="1"/>
  <c r="J36" i="1"/>
  <c r="K36" i="1"/>
  <c r="L36" i="1" a="1"/>
  <c r="L36" i="1" s="1"/>
  <c r="M36" i="1" a="1"/>
  <c r="M36" i="1" s="1"/>
  <c r="Q36" i="1" s="1"/>
  <c r="N36" i="1" a="1"/>
  <c r="N36" i="1" s="1"/>
  <c r="R36" i="1"/>
  <c r="S36" i="1"/>
  <c r="V36" i="1"/>
  <c r="B39" i="1"/>
  <c r="C39" i="1"/>
  <c r="D39" i="1"/>
  <c r="E39" i="1"/>
  <c r="F39" i="1"/>
  <c r="G39" i="1"/>
  <c r="H39" i="1"/>
  <c r="I39" i="1"/>
  <c r="J39" i="1"/>
  <c r="K39" i="1"/>
  <c r="L39" i="1" a="1"/>
  <c r="L39" i="1" s="1"/>
  <c r="M39" i="1" a="1"/>
  <c r="M39" i="1" s="1"/>
  <c r="Q39" i="1" s="1"/>
  <c r="N39" i="1" a="1"/>
  <c r="N39" i="1" s="1"/>
  <c r="R39" i="1"/>
  <c r="S39" i="1"/>
  <c r="V39" i="1"/>
  <c r="B32" i="1"/>
  <c r="C32" i="1"/>
  <c r="D32" i="1"/>
  <c r="E32" i="1"/>
  <c r="F32" i="1"/>
  <c r="G32" i="1"/>
  <c r="H32" i="1"/>
  <c r="I32" i="1"/>
  <c r="J32" i="1"/>
  <c r="K32" i="1"/>
  <c r="L32" i="1" a="1"/>
  <c r="L32" i="1" s="1"/>
  <c r="M32" i="1" a="1"/>
  <c r="M32" i="1" s="1"/>
  <c r="Q32" i="1" s="1"/>
  <c r="N32" i="1" a="1"/>
  <c r="N32" i="1" s="1"/>
  <c r="R32" i="1"/>
  <c r="S32" i="1"/>
  <c r="V32" i="1"/>
  <c r="B35" i="1"/>
  <c r="C35" i="1"/>
  <c r="D35" i="1"/>
  <c r="E35" i="1"/>
  <c r="F35" i="1"/>
  <c r="G35" i="1"/>
  <c r="H35" i="1"/>
  <c r="I35" i="1"/>
  <c r="J35" i="1"/>
  <c r="K35" i="1"/>
  <c r="L35" i="1" a="1"/>
  <c r="L35" i="1" s="1"/>
  <c r="M35" i="1" a="1"/>
  <c r="M35" i="1" s="1"/>
  <c r="Q35" i="1" s="1"/>
  <c r="N35" i="1" a="1"/>
  <c r="N35" i="1" s="1"/>
  <c r="R35" i="1"/>
  <c r="S35" i="1"/>
  <c r="V35" i="1"/>
  <c r="B49" i="1"/>
  <c r="C49" i="1"/>
  <c r="D49" i="1"/>
  <c r="E49" i="1"/>
  <c r="F49" i="1"/>
  <c r="G49" i="1"/>
  <c r="H49" i="1"/>
  <c r="I49" i="1"/>
  <c r="J49" i="1"/>
  <c r="K49" i="1"/>
  <c r="L49" i="1" a="1"/>
  <c r="L49" i="1" s="1"/>
  <c r="M49" i="1" a="1"/>
  <c r="M49" i="1" s="1"/>
  <c r="Q49" i="1" s="1"/>
  <c r="N49" i="1" a="1"/>
  <c r="N49" i="1" s="1"/>
  <c r="R49" i="1"/>
  <c r="S49" i="1"/>
  <c r="V49" i="1"/>
  <c r="B55" i="1"/>
  <c r="C55" i="1"/>
  <c r="D55" i="1"/>
  <c r="E55" i="1"/>
  <c r="F55" i="1"/>
  <c r="G55" i="1"/>
  <c r="H55" i="1"/>
  <c r="I55" i="1"/>
  <c r="J55" i="1"/>
  <c r="K55" i="1"/>
  <c r="L55" i="1" a="1"/>
  <c r="L55" i="1" s="1"/>
  <c r="M55" i="1" a="1"/>
  <c r="M55" i="1" s="1"/>
  <c r="Q55" i="1" s="1"/>
  <c r="N55" i="1" a="1"/>
  <c r="N55" i="1" s="1"/>
  <c r="R55" i="1"/>
  <c r="S55" i="1"/>
  <c r="V55" i="1"/>
  <c r="B66" i="1"/>
  <c r="C66" i="1"/>
  <c r="D66" i="1"/>
  <c r="E66" i="1"/>
  <c r="F66" i="1"/>
  <c r="G66" i="1"/>
  <c r="H66" i="1"/>
  <c r="I66" i="1"/>
  <c r="J66" i="1"/>
  <c r="K66" i="1"/>
  <c r="L66" i="1" a="1"/>
  <c r="L66" i="1" s="1"/>
  <c r="M66" i="1" a="1"/>
  <c r="M66" i="1" s="1"/>
  <c r="Q66" i="1" s="1"/>
  <c r="N66" i="1" a="1"/>
  <c r="N66" i="1" s="1"/>
  <c r="R66" i="1"/>
  <c r="S66" i="1"/>
  <c r="V66" i="1"/>
  <c r="B52" i="1"/>
  <c r="C52" i="1"/>
  <c r="D52" i="1"/>
  <c r="E52" i="1"/>
  <c r="F52" i="1"/>
  <c r="G52" i="1"/>
  <c r="H52" i="1"/>
  <c r="I52" i="1"/>
  <c r="J52" i="1"/>
  <c r="K52" i="1"/>
  <c r="L52" i="1" a="1"/>
  <c r="L52" i="1" s="1"/>
  <c r="M52" i="1" a="1"/>
  <c r="M52" i="1" s="1"/>
  <c r="Q52" i="1" s="1"/>
  <c r="N52" i="1" a="1"/>
  <c r="N52" i="1" s="1"/>
  <c r="R52" i="1"/>
  <c r="S52" i="1"/>
  <c r="V52" i="1"/>
  <c r="B53" i="1"/>
  <c r="C53" i="1"/>
  <c r="D53" i="1"/>
  <c r="E53" i="1"/>
  <c r="F53" i="1"/>
  <c r="G53" i="1"/>
  <c r="H53" i="1"/>
  <c r="I53" i="1"/>
  <c r="J53" i="1"/>
  <c r="K53" i="1"/>
  <c r="L53" i="1" a="1"/>
  <c r="L53" i="1" s="1"/>
  <c r="M53" i="1" a="1"/>
  <c r="M53" i="1" s="1"/>
  <c r="Q53" i="1" s="1"/>
  <c r="N53" i="1" a="1"/>
  <c r="N53" i="1" s="1"/>
  <c r="R53" i="1"/>
  <c r="S53" i="1"/>
  <c r="V53" i="1"/>
  <c r="B76" i="1"/>
  <c r="C76" i="1"/>
  <c r="D76" i="1"/>
  <c r="E76" i="1"/>
  <c r="F76" i="1"/>
  <c r="G76" i="1"/>
  <c r="H76" i="1"/>
  <c r="I76" i="1"/>
  <c r="J76" i="1"/>
  <c r="K76" i="1"/>
  <c r="L76" i="1" a="1"/>
  <c r="L76" i="1" s="1"/>
  <c r="M76" i="1" a="1"/>
  <c r="M76" i="1" s="1"/>
  <c r="Q76" i="1" s="1"/>
  <c r="N76" i="1" a="1"/>
  <c r="N76" i="1" s="1"/>
  <c r="R76" i="1"/>
  <c r="S76" i="1"/>
  <c r="V76" i="1"/>
  <c r="B56" i="1"/>
  <c r="C56" i="1"/>
  <c r="D56" i="1"/>
  <c r="E56" i="1"/>
  <c r="F56" i="1"/>
  <c r="G56" i="1"/>
  <c r="H56" i="1"/>
  <c r="I56" i="1"/>
  <c r="J56" i="1"/>
  <c r="K56" i="1"/>
  <c r="L56" i="1" a="1"/>
  <c r="L56" i="1" s="1"/>
  <c r="M56" i="1" a="1"/>
  <c r="M56" i="1" s="1"/>
  <c r="Q56" i="1" s="1"/>
  <c r="N56" i="1" a="1"/>
  <c r="N56" i="1" s="1"/>
  <c r="R56" i="1"/>
  <c r="S56" i="1"/>
  <c r="V56" i="1"/>
  <c r="B57" i="1"/>
  <c r="C57" i="1"/>
  <c r="D57" i="1"/>
  <c r="E57" i="1"/>
  <c r="F57" i="1"/>
  <c r="G57" i="1"/>
  <c r="H57" i="1"/>
  <c r="I57" i="1"/>
  <c r="J57" i="1"/>
  <c r="K57" i="1"/>
  <c r="L57" i="1" a="1"/>
  <c r="L57" i="1" s="1"/>
  <c r="M57" i="1" a="1"/>
  <c r="M57" i="1" s="1"/>
  <c r="Q57" i="1" s="1"/>
  <c r="N57" i="1" a="1"/>
  <c r="N57" i="1" s="1"/>
  <c r="R57" i="1"/>
  <c r="S57" i="1"/>
  <c r="V57" i="1"/>
  <c r="B58" i="1"/>
  <c r="C58" i="1"/>
  <c r="D58" i="1"/>
  <c r="E58" i="1"/>
  <c r="F58" i="1"/>
  <c r="G58" i="1"/>
  <c r="H58" i="1"/>
  <c r="I58" i="1"/>
  <c r="J58" i="1"/>
  <c r="K58" i="1"/>
  <c r="L58" i="1" a="1"/>
  <c r="L58" i="1" s="1"/>
  <c r="M58" i="1" a="1"/>
  <c r="M58" i="1" s="1"/>
  <c r="Q58" i="1" s="1"/>
  <c r="N58" i="1" a="1"/>
  <c r="N58" i="1" s="1"/>
  <c r="R58" i="1"/>
  <c r="S58" i="1"/>
  <c r="V58" i="1"/>
  <c r="B59" i="1"/>
  <c r="C59" i="1"/>
  <c r="D59" i="1"/>
  <c r="E59" i="1"/>
  <c r="F59" i="1"/>
  <c r="G59" i="1"/>
  <c r="H59" i="1"/>
  <c r="I59" i="1"/>
  <c r="J59" i="1"/>
  <c r="K59" i="1"/>
  <c r="M59" i="1" a="1"/>
  <c r="M59" i="1" s="1"/>
  <c r="Q59" i="1" s="1"/>
  <c r="N59" i="1" a="1"/>
  <c r="N59" i="1" s="1"/>
  <c r="R59" i="1"/>
  <c r="S59" i="1"/>
  <c r="V59" i="1"/>
  <c r="B64" i="1"/>
  <c r="C64" i="1"/>
  <c r="D64" i="1"/>
  <c r="E64" i="1"/>
  <c r="F64" i="1"/>
  <c r="G64" i="1"/>
  <c r="H64" i="1"/>
  <c r="I64" i="1"/>
  <c r="J64" i="1"/>
  <c r="K64" i="1"/>
  <c r="L64" i="1" a="1"/>
  <c r="L64" i="1" s="1"/>
  <c r="M64" i="1" a="1"/>
  <c r="M64" i="1" s="1"/>
  <c r="Q64" i="1" s="1"/>
  <c r="N64" i="1" a="1"/>
  <c r="N64" i="1" s="1"/>
  <c r="R64" i="1"/>
  <c r="S64" i="1"/>
  <c r="V64" i="1"/>
  <c r="B65" i="1"/>
  <c r="C65" i="1"/>
  <c r="D65" i="1"/>
  <c r="E65" i="1"/>
  <c r="F65" i="1"/>
  <c r="G65" i="1"/>
  <c r="H65" i="1"/>
  <c r="I65" i="1"/>
  <c r="J65" i="1"/>
  <c r="K65" i="1"/>
  <c r="L65" i="1" a="1"/>
  <c r="L65" i="1" s="1"/>
  <c r="M65" i="1" a="1"/>
  <c r="M65" i="1" s="1"/>
  <c r="Q65" i="1" s="1"/>
  <c r="N65" i="1" a="1"/>
  <c r="N65" i="1" s="1"/>
  <c r="R65" i="1"/>
  <c r="S65" i="1"/>
  <c r="V65" i="1"/>
  <c r="B129" i="1"/>
  <c r="C129" i="1"/>
  <c r="D129" i="1"/>
  <c r="E129" i="1"/>
  <c r="F129" i="1"/>
  <c r="G129" i="1"/>
  <c r="H129" i="1"/>
  <c r="I129" i="1"/>
  <c r="J129" i="1"/>
  <c r="K129" i="1"/>
  <c r="L129" i="1" a="1"/>
  <c r="L129" i="1" s="1"/>
  <c r="M129" i="1" a="1"/>
  <c r="M129" i="1" s="1"/>
  <c r="Q129" i="1" s="1"/>
  <c r="N129" i="1" a="1"/>
  <c r="N129" i="1" s="1"/>
  <c r="R129" i="1"/>
  <c r="S129" i="1"/>
  <c r="V129" i="1"/>
  <c r="B94" i="1"/>
  <c r="C94" i="1"/>
  <c r="D94" i="1"/>
  <c r="E94" i="1"/>
  <c r="F94" i="1"/>
  <c r="G94" i="1"/>
  <c r="H94" i="1"/>
  <c r="I94" i="1"/>
  <c r="J94" i="1"/>
  <c r="K94" i="1"/>
  <c r="L94" i="1" a="1"/>
  <c r="L94" i="1" s="1"/>
  <c r="N94" i="1" a="1"/>
  <c r="N94" i="1" s="1"/>
  <c r="R94" i="1"/>
  <c r="S94" i="1"/>
  <c r="V94" i="1"/>
  <c r="B71" i="1"/>
  <c r="C71" i="1"/>
  <c r="D71" i="1"/>
  <c r="E71" i="1"/>
  <c r="F71" i="1"/>
  <c r="G71" i="1"/>
  <c r="H71" i="1"/>
  <c r="I71" i="1"/>
  <c r="J71" i="1"/>
  <c r="K71" i="1"/>
  <c r="L71" i="1" a="1"/>
  <c r="L71" i="1" s="1"/>
  <c r="M71" i="1" a="1"/>
  <c r="M71" i="1" s="1"/>
  <c r="Q71" i="1" s="1"/>
  <c r="N71" i="1" a="1"/>
  <c r="N71" i="1" s="1"/>
  <c r="R71" i="1"/>
  <c r="S71" i="1"/>
  <c r="V71" i="1"/>
  <c r="B73" i="1"/>
  <c r="C73" i="1"/>
  <c r="D73" i="1"/>
  <c r="E73" i="1"/>
  <c r="F73" i="1"/>
  <c r="G73" i="1"/>
  <c r="H73" i="1"/>
  <c r="I73" i="1"/>
  <c r="J73" i="1"/>
  <c r="K73" i="1"/>
  <c r="L73" i="1" a="1"/>
  <c r="L73" i="1" s="1"/>
  <c r="M73" i="1" a="1"/>
  <c r="M73" i="1" s="1"/>
  <c r="Q73" i="1" s="1"/>
  <c r="N73" i="1" a="1"/>
  <c r="N73" i="1" s="1"/>
  <c r="R73" i="1"/>
  <c r="S73" i="1"/>
  <c r="V73" i="1"/>
  <c r="B74" i="1"/>
  <c r="C74" i="1"/>
  <c r="D74" i="1"/>
  <c r="E74" i="1"/>
  <c r="F74" i="1"/>
  <c r="G74" i="1"/>
  <c r="H74" i="1"/>
  <c r="I74" i="1"/>
  <c r="J74" i="1"/>
  <c r="K74" i="1"/>
  <c r="L74" i="1" a="1"/>
  <c r="L74" i="1" s="1"/>
  <c r="M74" i="1" a="1"/>
  <c r="M74" i="1" s="1"/>
  <c r="Q74" i="1" s="1"/>
  <c r="N74" i="1" a="1"/>
  <c r="N74" i="1" s="1"/>
  <c r="R74" i="1"/>
  <c r="S74" i="1"/>
  <c r="V74" i="1"/>
  <c r="B75" i="1"/>
  <c r="C75" i="1"/>
  <c r="D75" i="1"/>
  <c r="E75" i="1"/>
  <c r="F75" i="1"/>
  <c r="G75" i="1"/>
  <c r="H75" i="1"/>
  <c r="I75" i="1"/>
  <c r="J75" i="1"/>
  <c r="K75" i="1"/>
  <c r="L75" i="1" a="1"/>
  <c r="L75" i="1" s="1"/>
  <c r="M75" i="1" a="1"/>
  <c r="M75" i="1" s="1"/>
  <c r="Q75" i="1" s="1"/>
  <c r="N75" i="1" a="1"/>
  <c r="N75" i="1" s="1"/>
  <c r="R75" i="1"/>
  <c r="S75" i="1"/>
  <c r="V75" i="1"/>
  <c r="B109" i="1"/>
  <c r="C109" i="1"/>
  <c r="D109" i="1"/>
  <c r="E109" i="1"/>
  <c r="F109" i="1"/>
  <c r="G109" i="1"/>
  <c r="H109" i="1"/>
  <c r="I109" i="1"/>
  <c r="J109" i="1"/>
  <c r="K109" i="1"/>
  <c r="L109" i="1" a="1"/>
  <c r="L109" i="1" s="1"/>
  <c r="M109" i="1" a="1"/>
  <c r="M109" i="1" s="1"/>
  <c r="Q109" i="1" s="1"/>
  <c r="N109" i="1" a="1"/>
  <c r="N109" i="1" s="1"/>
  <c r="R109" i="1"/>
  <c r="S109" i="1"/>
  <c r="V109" i="1"/>
  <c r="B110" i="1"/>
  <c r="C110" i="1"/>
  <c r="D110" i="1"/>
  <c r="E110" i="1"/>
  <c r="F110" i="1"/>
  <c r="G110" i="1"/>
  <c r="H110" i="1"/>
  <c r="I110" i="1"/>
  <c r="J110" i="1"/>
  <c r="K110" i="1"/>
  <c r="L110" i="1" a="1"/>
  <c r="L110" i="1" s="1"/>
  <c r="M110" i="1" a="1"/>
  <c r="M110" i="1" s="1"/>
  <c r="Q110" i="1" s="1"/>
  <c r="N110" i="1" a="1"/>
  <c r="N110" i="1" s="1"/>
  <c r="R110" i="1"/>
  <c r="S110" i="1"/>
  <c r="V110" i="1"/>
  <c r="B78" i="1"/>
  <c r="C78" i="1"/>
  <c r="D78" i="1"/>
  <c r="E78" i="1"/>
  <c r="F78" i="1"/>
  <c r="G78" i="1"/>
  <c r="H78" i="1"/>
  <c r="I78" i="1"/>
  <c r="J78" i="1"/>
  <c r="K78" i="1"/>
  <c r="L78" i="1" a="1"/>
  <c r="L78" i="1" s="1"/>
  <c r="M78" i="1" a="1"/>
  <c r="M78" i="1" s="1"/>
  <c r="Q78" i="1" s="1"/>
  <c r="N78" i="1" a="1"/>
  <c r="N78" i="1" s="1"/>
  <c r="R78" i="1"/>
  <c r="S78" i="1"/>
  <c r="V78" i="1"/>
  <c r="B81" i="1"/>
  <c r="C81" i="1"/>
  <c r="D81" i="1"/>
  <c r="E81" i="1"/>
  <c r="F81" i="1"/>
  <c r="G81" i="1"/>
  <c r="H81" i="1"/>
  <c r="I81" i="1"/>
  <c r="J81" i="1"/>
  <c r="K81" i="1"/>
  <c r="L81" i="1" a="1"/>
  <c r="L81" i="1" s="1"/>
  <c r="M81" i="1" a="1"/>
  <c r="M81" i="1" s="1"/>
  <c r="Q81" i="1" s="1"/>
  <c r="N81" i="1" a="1"/>
  <c r="N81" i="1" s="1"/>
  <c r="R81" i="1"/>
  <c r="S81" i="1"/>
  <c r="V81" i="1"/>
  <c r="B82" i="1"/>
  <c r="C82" i="1"/>
  <c r="D82" i="1"/>
  <c r="E82" i="1"/>
  <c r="F82" i="1"/>
  <c r="G82" i="1"/>
  <c r="H82" i="1"/>
  <c r="I82" i="1"/>
  <c r="J82" i="1"/>
  <c r="K82" i="1"/>
  <c r="L82" i="1" a="1"/>
  <c r="L82" i="1" s="1"/>
  <c r="M82" i="1" a="1"/>
  <c r="M82" i="1" s="1"/>
  <c r="Q82" i="1" s="1"/>
  <c r="N82" i="1" a="1"/>
  <c r="N82" i="1" s="1"/>
  <c r="R82" i="1"/>
  <c r="S82" i="1"/>
  <c r="V82" i="1"/>
  <c r="B83" i="1"/>
  <c r="C83" i="1"/>
  <c r="D83" i="1"/>
  <c r="E83" i="1"/>
  <c r="F83" i="1"/>
  <c r="G83" i="1"/>
  <c r="H83" i="1"/>
  <c r="I83" i="1"/>
  <c r="J83" i="1"/>
  <c r="K83" i="1"/>
  <c r="L83" i="1" a="1"/>
  <c r="L83" i="1" s="1"/>
  <c r="M83" i="1" a="1"/>
  <c r="M83" i="1" s="1"/>
  <c r="Q83" i="1" s="1"/>
  <c r="N83" i="1" a="1"/>
  <c r="N83" i="1" s="1"/>
  <c r="R83" i="1"/>
  <c r="S83" i="1"/>
  <c r="V83" i="1"/>
  <c r="B92" i="1"/>
  <c r="C92" i="1"/>
  <c r="D92" i="1"/>
  <c r="E92" i="1"/>
  <c r="F92" i="1"/>
  <c r="G92" i="1"/>
  <c r="H92" i="1"/>
  <c r="I92" i="1"/>
  <c r="J92" i="1"/>
  <c r="K92" i="1"/>
  <c r="L92" i="1" a="1"/>
  <c r="L92" i="1" s="1"/>
  <c r="M92" i="1" a="1"/>
  <c r="M92" i="1" s="1"/>
  <c r="Q92" i="1" s="1"/>
  <c r="N92" i="1" a="1"/>
  <c r="N92" i="1" s="1"/>
  <c r="R92" i="1"/>
  <c r="S92" i="1"/>
  <c r="V92" i="1"/>
  <c r="B145" i="1"/>
  <c r="C145" i="1"/>
  <c r="D145" i="1"/>
  <c r="E145" i="1"/>
  <c r="F145" i="1"/>
  <c r="G145" i="1"/>
  <c r="H145" i="1"/>
  <c r="I145" i="1"/>
  <c r="J145" i="1"/>
  <c r="K145" i="1"/>
  <c r="L145" i="1" a="1"/>
  <c r="L145" i="1" s="1"/>
  <c r="M145" i="1" a="1"/>
  <c r="M145" i="1" s="1"/>
  <c r="Q145" i="1" s="1"/>
  <c r="N145" i="1" a="1"/>
  <c r="N145" i="1" s="1"/>
  <c r="R145" i="1"/>
  <c r="S145" i="1"/>
  <c r="V145" i="1"/>
  <c r="B96" i="1"/>
  <c r="C96" i="1"/>
  <c r="D96" i="1"/>
  <c r="E96" i="1"/>
  <c r="F96" i="1"/>
  <c r="G96" i="1"/>
  <c r="H96" i="1"/>
  <c r="I96" i="1"/>
  <c r="J96" i="1"/>
  <c r="K96" i="1"/>
  <c r="N96" i="1" a="1"/>
  <c r="N96" i="1" s="1"/>
  <c r="R96" i="1"/>
  <c r="S96" i="1"/>
  <c r="V96" i="1"/>
  <c r="B97" i="1"/>
  <c r="C97" i="1"/>
  <c r="D97" i="1"/>
  <c r="E97" i="1"/>
  <c r="F97" i="1"/>
  <c r="G97" i="1"/>
  <c r="H97" i="1"/>
  <c r="I97" i="1"/>
  <c r="J97" i="1"/>
  <c r="K97" i="1"/>
  <c r="N97" i="1" a="1"/>
  <c r="N97" i="1" s="1"/>
  <c r="R97" i="1"/>
  <c r="S97" i="1"/>
  <c r="V97" i="1"/>
  <c r="B99" i="1"/>
  <c r="C99" i="1"/>
  <c r="D99" i="1"/>
  <c r="E99" i="1"/>
  <c r="F99" i="1"/>
  <c r="G99" i="1"/>
  <c r="H99" i="1"/>
  <c r="I99" i="1"/>
  <c r="J99" i="1"/>
  <c r="K99" i="1"/>
  <c r="L99" i="1" a="1"/>
  <c r="L99" i="1" s="1"/>
  <c r="M99" i="1" a="1"/>
  <c r="M99" i="1" s="1"/>
  <c r="Q99" i="1" s="1"/>
  <c r="N99" i="1" a="1"/>
  <c r="N99" i="1" s="1"/>
  <c r="V99" i="1"/>
  <c r="B101" i="1"/>
  <c r="C101" i="1"/>
  <c r="D101" i="1"/>
  <c r="E101" i="1"/>
  <c r="F101" i="1"/>
  <c r="G101" i="1"/>
  <c r="H101" i="1"/>
  <c r="I101" i="1"/>
  <c r="J101" i="1"/>
  <c r="K101" i="1"/>
  <c r="N101" i="1" a="1"/>
  <c r="N101" i="1" s="1"/>
  <c r="R101" i="1"/>
  <c r="S101" i="1"/>
  <c r="V101" i="1"/>
  <c r="B102" i="1"/>
  <c r="C102" i="1"/>
  <c r="D102" i="1"/>
  <c r="E102" i="1"/>
  <c r="F102" i="1"/>
  <c r="G102" i="1"/>
  <c r="H102" i="1"/>
  <c r="I102" i="1"/>
  <c r="J102" i="1"/>
  <c r="K102" i="1"/>
  <c r="N102" i="1" a="1"/>
  <c r="N102" i="1" s="1"/>
  <c r="R102" i="1"/>
  <c r="S102" i="1"/>
  <c r="V102" i="1"/>
  <c r="B103" i="1"/>
  <c r="C103" i="1"/>
  <c r="D103" i="1"/>
  <c r="E103" i="1"/>
  <c r="F103" i="1"/>
  <c r="G103" i="1"/>
  <c r="H103" i="1"/>
  <c r="I103" i="1"/>
  <c r="J103" i="1"/>
  <c r="K103" i="1"/>
  <c r="N103" i="1" a="1"/>
  <c r="N103" i="1" s="1"/>
  <c r="R103" i="1"/>
  <c r="S103" i="1"/>
  <c r="V103" i="1"/>
  <c r="B104" i="1"/>
  <c r="C104" i="1"/>
  <c r="D104" i="1"/>
  <c r="E104" i="1"/>
  <c r="F104" i="1"/>
  <c r="G104" i="1"/>
  <c r="H104" i="1"/>
  <c r="I104" i="1"/>
  <c r="J104" i="1"/>
  <c r="K104" i="1"/>
  <c r="L104" i="1" a="1"/>
  <c r="L104" i="1" s="1"/>
  <c r="M104" i="1" a="1"/>
  <c r="M104" i="1" s="1"/>
  <c r="Q104" i="1" s="1"/>
  <c r="N104" i="1" a="1"/>
  <c r="N104" i="1" s="1"/>
  <c r="R104" i="1"/>
  <c r="S104" i="1"/>
  <c r="V104" i="1"/>
  <c r="B105" i="1"/>
  <c r="C105" i="1"/>
  <c r="D105" i="1"/>
  <c r="E105" i="1"/>
  <c r="F105" i="1"/>
  <c r="G105" i="1"/>
  <c r="H105" i="1"/>
  <c r="I105" i="1"/>
  <c r="J105" i="1"/>
  <c r="K105" i="1"/>
  <c r="L105" i="1" a="1"/>
  <c r="L105" i="1" s="1"/>
  <c r="M105" i="1" a="1"/>
  <c r="M105" i="1" s="1"/>
  <c r="Q105" i="1" s="1"/>
  <c r="N105" i="1" a="1"/>
  <c r="N105" i="1" s="1"/>
  <c r="R105" i="1"/>
  <c r="S105" i="1"/>
  <c r="V105" i="1"/>
  <c r="B116" i="1"/>
  <c r="C116" i="1"/>
  <c r="D116" i="1"/>
  <c r="E116" i="1"/>
  <c r="F116" i="1"/>
  <c r="G116" i="1"/>
  <c r="H116" i="1"/>
  <c r="I116" i="1"/>
  <c r="J116" i="1"/>
  <c r="K116" i="1"/>
  <c r="L116" i="1" a="1"/>
  <c r="L116" i="1" s="1"/>
  <c r="M116" i="1" a="1"/>
  <c r="M116" i="1" s="1"/>
  <c r="Q116" i="1" s="1"/>
  <c r="N116" i="1" a="1"/>
  <c r="N116" i="1" s="1"/>
  <c r="R116" i="1"/>
  <c r="S116" i="1"/>
  <c r="V116" i="1"/>
  <c r="B112" i="1"/>
  <c r="C112" i="1"/>
  <c r="D112" i="1"/>
  <c r="E112" i="1"/>
  <c r="F112" i="1"/>
  <c r="G112" i="1"/>
  <c r="H112" i="1"/>
  <c r="I112" i="1"/>
  <c r="J112" i="1"/>
  <c r="K112" i="1"/>
  <c r="L112" i="1" a="1"/>
  <c r="L112" i="1" s="1"/>
  <c r="M112" i="1" a="1"/>
  <c r="M112" i="1" s="1"/>
  <c r="Q112" i="1" s="1"/>
  <c r="N112" i="1" a="1"/>
  <c r="N112" i="1" s="1"/>
  <c r="R112" i="1"/>
  <c r="S112" i="1"/>
  <c r="V112" i="1"/>
  <c r="B113" i="1"/>
  <c r="C113" i="1"/>
  <c r="D113" i="1"/>
  <c r="E113" i="1"/>
  <c r="F113" i="1"/>
  <c r="G113" i="1"/>
  <c r="H113" i="1"/>
  <c r="I113" i="1"/>
  <c r="J113" i="1"/>
  <c r="K113" i="1"/>
  <c r="L113" i="1" a="1"/>
  <c r="L113" i="1" s="1"/>
  <c r="M113" i="1" a="1"/>
  <c r="M113" i="1" s="1"/>
  <c r="Q113" i="1" s="1"/>
  <c r="N113" i="1" a="1"/>
  <c r="N113" i="1" s="1"/>
  <c r="R113" i="1"/>
  <c r="S113" i="1"/>
  <c r="V113" i="1"/>
  <c r="B119" i="1"/>
  <c r="C119" i="1"/>
  <c r="D119" i="1"/>
  <c r="E119" i="1"/>
  <c r="F119" i="1"/>
  <c r="G119" i="1"/>
  <c r="H119" i="1"/>
  <c r="I119" i="1"/>
  <c r="J119" i="1"/>
  <c r="K119" i="1"/>
  <c r="L119" i="1" a="1"/>
  <c r="L119" i="1" s="1"/>
  <c r="M119" i="1" a="1"/>
  <c r="M119" i="1" s="1"/>
  <c r="Q119" i="1" s="1"/>
  <c r="N119" i="1" a="1"/>
  <c r="N119" i="1" s="1"/>
  <c r="R119" i="1"/>
  <c r="S119" i="1"/>
  <c r="V119" i="1"/>
  <c r="B17" i="1"/>
  <c r="C17" i="1"/>
  <c r="D17" i="1"/>
  <c r="E17" i="1"/>
  <c r="F17" i="1"/>
  <c r="G17" i="1"/>
  <c r="H17" i="1"/>
  <c r="I17" i="1"/>
  <c r="J17" i="1"/>
  <c r="K17" i="1"/>
  <c r="L17" i="1" a="1"/>
  <c r="L17" i="1" s="1"/>
  <c r="M17" i="1" a="1"/>
  <c r="M17" i="1" s="1"/>
  <c r="Q17" i="1" s="1"/>
  <c r="N17" i="1" a="1"/>
  <c r="N17" i="1" s="1"/>
  <c r="R17" i="1"/>
  <c r="S17" i="1"/>
  <c r="V17" i="1"/>
  <c r="B122" i="1"/>
  <c r="D122" i="1"/>
  <c r="E122" i="1"/>
  <c r="F122" i="1"/>
  <c r="G122" i="1"/>
  <c r="H122" i="1"/>
  <c r="I122" i="1"/>
  <c r="J122" i="1"/>
  <c r="K122" i="1"/>
  <c r="L122" i="1" a="1"/>
  <c r="L122" i="1" s="1"/>
  <c r="M122" i="1" a="1"/>
  <c r="M122" i="1" s="1"/>
  <c r="Q122" i="1" s="1"/>
  <c r="N122" i="1" a="1"/>
  <c r="N122" i="1" s="1"/>
  <c r="R122" i="1"/>
  <c r="S122" i="1"/>
  <c r="V122" i="1"/>
  <c r="B124" i="1"/>
  <c r="C124" i="1"/>
  <c r="D124" i="1"/>
  <c r="E124" i="1"/>
  <c r="F124" i="1"/>
  <c r="G124" i="1"/>
  <c r="H124" i="1"/>
  <c r="I124" i="1"/>
  <c r="J124" i="1"/>
  <c r="K124" i="1"/>
  <c r="L124" i="1" a="1"/>
  <c r="L124" i="1" s="1"/>
  <c r="M124" i="1" a="1"/>
  <c r="M124" i="1" s="1"/>
  <c r="Q124" i="1" s="1"/>
  <c r="N124" i="1" a="1"/>
  <c r="N124" i="1" s="1"/>
  <c r="R124" i="1"/>
  <c r="S124" i="1"/>
  <c r="V124" i="1"/>
  <c r="B127" i="1"/>
  <c r="C127" i="1"/>
  <c r="D127" i="1"/>
  <c r="E127" i="1"/>
  <c r="F127" i="1"/>
  <c r="G127" i="1"/>
  <c r="H127" i="1"/>
  <c r="I127" i="1"/>
  <c r="J127" i="1"/>
  <c r="K127" i="1"/>
  <c r="L127" i="1" a="1"/>
  <c r="L127" i="1" s="1"/>
  <c r="M127" i="1" a="1"/>
  <c r="M127" i="1" s="1"/>
  <c r="Q127" i="1" s="1"/>
  <c r="N127" i="1" a="1"/>
  <c r="N127" i="1" s="1"/>
  <c r="R127" i="1"/>
  <c r="S127" i="1"/>
  <c r="V127" i="1"/>
  <c r="B18" i="1"/>
  <c r="C18" i="1"/>
  <c r="D18" i="1"/>
  <c r="E18" i="1"/>
  <c r="F18" i="1"/>
  <c r="G18" i="1"/>
  <c r="H18" i="1"/>
  <c r="I18" i="1"/>
  <c r="J18" i="1"/>
  <c r="K18" i="1"/>
  <c r="L18" i="1" a="1"/>
  <c r="L18" i="1" s="1"/>
  <c r="M18" i="1" a="1"/>
  <c r="M18" i="1" s="1"/>
  <c r="Q18" i="1" s="1"/>
  <c r="N18" i="1" a="1"/>
  <c r="N18" i="1" s="1"/>
  <c r="R18" i="1"/>
  <c r="S18" i="1"/>
  <c r="V18" i="1"/>
  <c r="B68" i="1"/>
  <c r="C68" i="1"/>
  <c r="D68" i="1"/>
  <c r="E68" i="1"/>
  <c r="F68" i="1"/>
  <c r="G68" i="1"/>
  <c r="H68" i="1"/>
  <c r="I68" i="1"/>
  <c r="J68" i="1"/>
  <c r="K68" i="1"/>
  <c r="N68" i="1" a="1"/>
  <c r="N68" i="1" s="1"/>
  <c r="R68" i="1"/>
  <c r="S68" i="1"/>
  <c r="V68" i="1"/>
  <c r="B133" i="1"/>
  <c r="C133" i="1"/>
  <c r="D133" i="1"/>
  <c r="E133" i="1"/>
  <c r="F133" i="1"/>
  <c r="G133" i="1"/>
  <c r="H133" i="1"/>
  <c r="I133" i="1"/>
  <c r="J133" i="1"/>
  <c r="K133" i="1"/>
  <c r="L133" i="1" a="1"/>
  <c r="L133" i="1" s="1"/>
  <c r="M133" i="1" a="1"/>
  <c r="M133" i="1" s="1"/>
  <c r="Q133" i="1" s="1"/>
  <c r="N133" i="1" a="1"/>
  <c r="N133" i="1" s="1"/>
  <c r="R133" i="1"/>
  <c r="S133" i="1"/>
  <c r="V133" i="1"/>
  <c r="B135" i="1"/>
  <c r="C135" i="1"/>
  <c r="D135" i="1"/>
  <c r="E135" i="1"/>
  <c r="F135" i="1"/>
  <c r="G135" i="1"/>
  <c r="H135" i="1"/>
  <c r="I135" i="1"/>
  <c r="J135" i="1"/>
  <c r="K135" i="1"/>
  <c r="L135" i="1" a="1"/>
  <c r="L135" i="1" s="1"/>
  <c r="M135" i="1" a="1"/>
  <c r="M135" i="1" s="1"/>
  <c r="Q135" i="1" s="1"/>
  <c r="N135" i="1" a="1"/>
  <c r="N135" i="1" s="1"/>
  <c r="R135" i="1"/>
  <c r="S135" i="1"/>
  <c r="V135" i="1"/>
  <c r="C136" i="1"/>
  <c r="D136" i="1"/>
  <c r="E136" i="1"/>
  <c r="F136" i="1"/>
  <c r="G136" i="1"/>
  <c r="H136" i="1"/>
  <c r="I136" i="1"/>
  <c r="J136" i="1"/>
  <c r="K136" i="1"/>
  <c r="L136" i="1" a="1"/>
  <c r="L136" i="1" s="1"/>
  <c r="M136" i="1" a="1"/>
  <c r="M136" i="1" s="1"/>
  <c r="Q136" i="1" s="1"/>
  <c r="N136" i="1" a="1"/>
  <c r="N136" i="1" s="1"/>
  <c r="R136" i="1"/>
  <c r="S136" i="1"/>
  <c r="V136" i="1"/>
  <c r="B137" i="1"/>
  <c r="C137" i="1"/>
  <c r="D137" i="1"/>
  <c r="E137" i="1"/>
  <c r="F137" i="1"/>
  <c r="G137" i="1"/>
  <c r="H137" i="1"/>
  <c r="I137" i="1"/>
  <c r="J137" i="1"/>
  <c r="K137" i="1"/>
  <c r="L137" i="1" a="1"/>
  <c r="L137" i="1" s="1"/>
  <c r="M137" i="1" a="1"/>
  <c r="M137" i="1" s="1"/>
  <c r="Q137" i="1" s="1"/>
  <c r="N137" i="1" a="1"/>
  <c r="N137" i="1" s="1"/>
  <c r="R137" i="1"/>
  <c r="S137" i="1"/>
  <c r="V137" i="1"/>
  <c r="B138" i="1"/>
  <c r="C138" i="1"/>
  <c r="D138" i="1"/>
  <c r="E138" i="1"/>
  <c r="F138" i="1"/>
  <c r="G138" i="1"/>
  <c r="H138" i="1"/>
  <c r="I138" i="1"/>
  <c r="J138" i="1"/>
  <c r="K138" i="1"/>
  <c r="L138" i="1" a="1"/>
  <c r="L138" i="1" s="1"/>
  <c r="M138" i="1" a="1"/>
  <c r="M138" i="1" s="1"/>
  <c r="Q138" i="1" s="1"/>
  <c r="N138" i="1" a="1"/>
  <c r="N138" i="1" s="1"/>
  <c r="R138" i="1"/>
  <c r="S138" i="1"/>
  <c r="V138" i="1"/>
  <c r="B139" i="1"/>
  <c r="C139" i="1"/>
  <c r="D139" i="1"/>
  <c r="E139" i="1"/>
  <c r="F139" i="1"/>
  <c r="G139" i="1"/>
  <c r="H139" i="1"/>
  <c r="I139" i="1"/>
  <c r="J139" i="1"/>
  <c r="K139" i="1"/>
  <c r="L139" i="1" a="1"/>
  <c r="L139" i="1" s="1"/>
  <c r="M139" i="1" a="1"/>
  <c r="M139" i="1" s="1"/>
  <c r="Q139" i="1" s="1"/>
  <c r="N139" i="1" a="1"/>
  <c r="N139" i="1" s="1"/>
  <c r="R139" i="1"/>
  <c r="S139" i="1"/>
  <c r="V139" i="1"/>
  <c r="B140" i="1"/>
  <c r="C140" i="1"/>
  <c r="D140" i="1"/>
  <c r="E140" i="1"/>
  <c r="F140" i="1"/>
  <c r="G140" i="1"/>
  <c r="H140" i="1"/>
  <c r="I140" i="1"/>
  <c r="J140" i="1"/>
  <c r="K140" i="1"/>
  <c r="L140" i="1" a="1"/>
  <c r="L140" i="1" s="1"/>
  <c r="M140" i="1" a="1"/>
  <c r="M140" i="1" s="1"/>
  <c r="Q140" i="1" s="1"/>
  <c r="N140" i="1" a="1"/>
  <c r="N140" i="1" s="1"/>
  <c r="R140" i="1"/>
  <c r="S140" i="1"/>
  <c r="V140" i="1"/>
  <c r="B141" i="1"/>
  <c r="C141" i="1"/>
  <c r="D141" i="1"/>
  <c r="E141" i="1"/>
  <c r="F141" i="1"/>
  <c r="G141" i="1"/>
  <c r="H141" i="1"/>
  <c r="I141" i="1"/>
  <c r="J141" i="1"/>
  <c r="K141" i="1"/>
  <c r="L141" i="1" a="1"/>
  <c r="L141" i="1" s="1"/>
  <c r="M141" i="1" a="1"/>
  <c r="M141" i="1" s="1"/>
  <c r="Q141" i="1" s="1"/>
  <c r="N141" i="1" a="1"/>
  <c r="N141" i="1" s="1"/>
  <c r="R141" i="1"/>
  <c r="S141" i="1"/>
  <c r="V141" i="1"/>
  <c r="B142" i="1"/>
  <c r="C142" i="1"/>
  <c r="D142" i="1"/>
  <c r="E142" i="1"/>
  <c r="F142" i="1"/>
  <c r="G142" i="1"/>
  <c r="H142" i="1"/>
  <c r="I142" i="1"/>
  <c r="J142" i="1"/>
  <c r="K142" i="1"/>
  <c r="N142" i="1" a="1"/>
  <c r="N142" i="1" s="1"/>
  <c r="R142" i="1"/>
  <c r="S142" i="1"/>
  <c r="V142" i="1"/>
  <c r="B144" i="1"/>
  <c r="C144" i="1"/>
  <c r="D144" i="1"/>
  <c r="E144" i="1"/>
  <c r="F144" i="1"/>
  <c r="G144" i="1"/>
  <c r="H144" i="1"/>
  <c r="I144" i="1"/>
  <c r="J144" i="1"/>
  <c r="K144" i="1"/>
  <c r="L144" i="1" a="1"/>
  <c r="L144" i="1" s="1"/>
  <c r="M144" i="1" a="1"/>
  <c r="M144" i="1" s="1"/>
  <c r="Q144" i="1" s="1"/>
  <c r="N144" i="1" a="1"/>
  <c r="N144" i="1" s="1"/>
  <c r="R144" i="1"/>
  <c r="S144" i="1"/>
  <c r="V144" i="1"/>
  <c r="B21" i="1"/>
  <c r="C21" i="1"/>
  <c r="D21" i="1"/>
  <c r="E21" i="1"/>
  <c r="F21" i="1"/>
  <c r="G21" i="1"/>
  <c r="H21" i="1"/>
  <c r="I21" i="1"/>
  <c r="J21" i="1"/>
  <c r="K21" i="1"/>
  <c r="N21" i="1" a="1"/>
  <c r="N21" i="1" s="1"/>
  <c r="R21" i="1"/>
  <c r="S21" i="1"/>
  <c r="V21" i="1"/>
  <c r="B146" i="1"/>
  <c r="C146" i="1"/>
  <c r="D146" i="1"/>
  <c r="E146" i="1"/>
  <c r="F146" i="1"/>
  <c r="G146" i="1"/>
  <c r="H146" i="1"/>
  <c r="I146" i="1"/>
  <c r="J146" i="1"/>
  <c r="K146" i="1"/>
  <c r="L146" i="1" a="1"/>
  <c r="L146" i="1" s="1"/>
  <c r="M146" i="1" a="1"/>
  <c r="M146" i="1" s="1"/>
  <c r="Q146" i="1" s="1"/>
  <c r="N146" i="1" a="1"/>
  <c r="N146" i="1" s="1"/>
  <c r="R146" i="1"/>
  <c r="S146" i="1"/>
  <c r="V146" i="1"/>
  <c r="B149" i="1"/>
  <c r="C149" i="1"/>
  <c r="D149" i="1"/>
  <c r="E149" i="1"/>
  <c r="F149" i="1"/>
  <c r="G149" i="1"/>
  <c r="H149" i="1"/>
  <c r="I149" i="1"/>
  <c r="J149" i="1"/>
  <c r="K149" i="1"/>
  <c r="L149" i="1" a="1"/>
  <c r="L149" i="1" s="1"/>
  <c r="M149" i="1" a="1"/>
  <c r="M149" i="1" s="1"/>
  <c r="Q149" i="1" s="1"/>
  <c r="N149" i="1" a="1"/>
  <c r="N149" i="1" s="1"/>
  <c r="O149" i="1" a="1"/>
  <c r="O149" i="1" s="1"/>
  <c r="R149" i="1"/>
  <c r="S149" i="1"/>
  <c r="V149" i="1"/>
  <c r="B155" i="1"/>
  <c r="C155" i="1"/>
  <c r="D155" i="1"/>
  <c r="E155" i="1"/>
  <c r="F155" i="1"/>
  <c r="G155" i="1"/>
  <c r="H155" i="1"/>
  <c r="I155" i="1"/>
  <c r="J155" i="1"/>
  <c r="K155" i="1"/>
  <c r="L155" i="1" a="1"/>
  <c r="L155" i="1" s="1"/>
  <c r="M155" i="1" a="1"/>
  <c r="M155" i="1" s="1"/>
  <c r="Q155" i="1" s="1"/>
  <c r="N155" i="1" a="1"/>
  <c r="N155" i="1" s="1"/>
  <c r="O155" i="1" a="1"/>
  <c r="O155" i="1" s="1"/>
  <c r="R155" i="1"/>
  <c r="S155" i="1"/>
  <c r="V155" i="1"/>
  <c r="B157" i="1"/>
  <c r="C157" i="1"/>
  <c r="D157" i="1"/>
  <c r="E157" i="1"/>
  <c r="F157" i="1"/>
  <c r="G157" i="1"/>
  <c r="H157" i="1"/>
  <c r="I157" i="1"/>
  <c r="J157" i="1"/>
  <c r="K157" i="1"/>
  <c r="L157" i="1" a="1"/>
  <c r="L157" i="1" s="1"/>
  <c r="M157" i="1" a="1"/>
  <c r="M157" i="1" s="1"/>
  <c r="Q157" i="1" s="1"/>
  <c r="N157" i="1" a="1"/>
  <c r="N157" i="1" s="1"/>
  <c r="O157" i="1" a="1"/>
  <c r="O157" i="1" s="1"/>
  <c r="R157" i="1"/>
  <c r="S157" i="1"/>
  <c r="V157" i="1"/>
  <c r="B158" i="1"/>
  <c r="C158" i="1"/>
  <c r="D158" i="1"/>
  <c r="E158" i="1"/>
  <c r="F158" i="1"/>
  <c r="G158" i="1"/>
  <c r="H158" i="1"/>
  <c r="I158" i="1"/>
  <c r="J158" i="1"/>
  <c r="K158" i="1"/>
  <c r="L158" i="1" a="1"/>
  <c r="L158" i="1" s="1"/>
  <c r="M158" i="1" a="1"/>
  <c r="M158" i="1" s="1"/>
  <c r="Q158" i="1" s="1"/>
  <c r="N158" i="1" a="1"/>
  <c r="N158" i="1" s="1"/>
  <c r="R158" i="1"/>
  <c r="S158" i="1"/>
  <c r="V158" i="1"/>
  <c r="B159" i="1"/>
  <c r="C159" i="1"/>
  <c r="D159" i="1"/>
  <c r="E159" i="1"/>
  <c r="F159" i="1"/>
  <c r="G159" i="1"/>
  <c r="H159" i="1"/>
  <c r="I159" i="1"/>
  <c r="J159" i="1"/>
  <c r="K159" i="1"/>
  <c r="L159" i="1" a="1"/>
  <c r="L159" i="1" s="1"/>
  <c r="M159" i="1" a="1"/>
  <c r="M159" i="1" s="1"/>
  <c r="Q159" i="1" s="1"/>
  <c r="N159" i="1" a="1"/>
  <c r="N159" i="1" s="1"/>
  <c r="R159" i="1"/>
  <c r="S159" i="1"/>
  <c r="V159" i="1"/>
  <c r="B160" i="1"/>
  <c r="C160" i="1"/>
  <c r="D160" i="1"/>
  <c r="E160" i="1"/>
  <c r="F160" i="1"/>
  <c r="G160" i="1"/>
  <c r="H160" i="1"/>
  <c r="I160" i="1"/>
  <c r="J160" i="1"/>
  <c r="K160" i="1"/>
  <c r="L160" i="1" a="1"/>
  <c r="L160" i="1" s="1"/>
  <c r="M160" i="1" a="1"/>
  <c r="M160" i="1" s="1"/>
  <c r="Q160" i="1" s="1"/>
  <c r="N160" i="1" a="1"/>
  <c r="N160" i="1" s="1"/>
  <c r="R160" i="1"/>
  <c r="S160" i="1"/>
  <c r="V160" i="1"/>
  <c r="B162" i="1"/>
  <c r="C162" i="1"/>
  <c r="D162" i="1"/>
  <c r="E162" i="1"/>
  <c r="F162" i="1"/>
  <c r="G162" i="1"/>
  <c r="H162" i="1"/>
  <c r="I162" i="1"/>
  <c r="J162" i="1"/>
  <c r="K162" i="1"/>
  <c r="L162" i="1" a="1"/>
  <c r="L162" i="1" s="1"/>
  <c r="M162" i="1" a="1"/>
  <c r="M162" i="1" s="1"/>
  <c r="Q162" i="1" s="1"/>
  <c r="N162" i="1" a="1"/>
  <c r="N162" i="1" s="1"/>
  <c r="R162" i="1"/>
  <c r="S162" i="1"/>
  <c r="V162" i="1"/>
  <c r="B163" i="1"/>
  <c r="C163" i="1"/>
  <c r="D163" i="1"/>
  <c r="E163" i="1"/>
  <c r="F163" i="1"/>
  <c r="G163" i="1"/>
  <c r="H163" i="1"/>
  <c r="I163" i="1"/>
  <c r="J163" i="1"/>
  <c r="K163" i="1"/>
  <c r="L163" i="1" a="1"/>
  <c r="L163" i="1" s="1"/>
  <c r="N163" i="1" a="1"/>
  <c r="N163" i="1" s="1"/>
  <c r="R163" i="1"/>
  <c r="S163" i="1"/>
  <c r="V163" i="1"/>
  <c r="B164" i="1"/>
  <c r="C164" i="1"/>
  <c r="D164" i="1"/>
  <c r="E164" i="1"/>
  <c r="F164" i="1"/>
  <c r="G164" i="1"/>
  <c r="H164" i="1"/>
  <c r="I164" i="1"/>
  <c r="J164" i="1"/>
  <c r="K164" i="1"/>
  <c r="L164" i="1" a="1"/>
  <c r="L164" i="1" s="1"/>
  <c r="N164" i="1" a="1"/>
  <c r="N164" i="1" s="1"/>
  <c r="R164" i="1"/>
  <c r="S164" i="1"/>
  <c r="V164" i="1"/>
  <c r="B165" i="1"/>
  <c r="C165" i="1"/>
  <c r="D165" i="1"/>
  <c r="E165" i="1"/>
  <c r="F165" i="1"/>
  <c r="G165" i="1"/>
  <c r="H165" i="1"/>
  <c r="I165" i="1"/>
  <c r="J165" i="1"/>
  <c r="K165" i="1"/>
  <c r="L165" i="1" a="1"/>
  <c r="L165" i="1" s="1"/>
  <c r="M165" i="1" a="1"/>
  <c r="M165" i="1" s="1"/>
  <c r="Q165" i="1" s="1"/>
  <c r="N165" i="1" a="1"/>
  <c r="N165" i="1" s="1"/>
  <c r="R165" i="1"/>
  <c r="S165" i="1"/>
  <c r="V165" i="1"/>
  <c r="B166" i="1"/>
  <c r="C166" i="1"/>
  <c r="D166" i="1"/>
  <c r="E166" i="1"/>
  <c r="F166" i="1"/>
  <c r="G166" i="1"/>
  <c r="H166" i="1"/>
  <c r="I166" i="1"/>
  <c r="J166" i="1"/>
  <c r="K166" i="1"/>
  <c r="L166" i="1" a="1"/>
  <c r="L166" i="1" s="1"/>
  <c r="M166" i="1" a="1"/>
  <c r="M166" i="1" s="1"/>
  <c r="Q166" i="1" s="1"/>
  <c r="N166" i="1" a="1"/>
  <c r="N166" i="1" s="1"/>
  <c r="R166" i="1"/>
  <c r="S166" i="1"/>
  <c r="V166" i="1"/>
  <c r="B168" i="1"/>
  <c r="C168" i="1"/>
  <c r="D168" i="1"/>
  <c r="E168" i="1"/>
  <c r="F168" i="1"/>
  <c r="G168" i="1"/>
  <c r="H168" i="1"/>
  <c r="I168" i="1"/>
  <c r="J168" i="1"/>
  <c r="K168" i="1"/>
  <c r="L168" i="1" a="1"/>
  <c r="L168" i="1" s="1"/>
  <c r="N168" i="1" a="1"/>
  <c r="N168" i="1" s="1"/>
  <c r="R168" i="1"/>
  <c r="S168" i="1"/>
  <c r="V168" i="1"/>
  <c r="B170" i="1"/>
  <c r="C170" i="1"/>
  <c r="D170" i="1"/>
  <c r="E170" i="1"/>
  <c r="F170" i="1"/>
  <c r="G170" i="1"/>
  <c r="H170" i="1"/>
  <c r="I170" i="1"/>
  <c r="J170" i="1"/>
  <c r="K170" i="1"/>
  <c r="L170" i="1" a="1"/>
  <c r="L170" i="1" s="1"/>
  <c r="N170" i="1" a="1"/>
  <c r="N170" i="1" s="1"/>
  <c r="R170" i="1"/>
  <c r="S170" i="1"/>
  <c r="V170" i="1"/>
  <c r="B171" i="1"/>
  <c r="C171" i="1"/>
  <c r="D171" i="1"/>
  <c r="E171" i="1"/>
  <c r="F171" i="1"/>
  <c r="G171" i="1"/>
  <c r="H171" i="1"/>
  <c r="I171" i="1"/>
  <c r="J171" i="1"/>
  <c r="K171" i="1"/>
  <c r="L171" i="1" a="1"/>
  <c r="L171" i="1" s="1"/>
  <c r="N171" i="1" a="1"/>
  <c r="N171" i="1" s="1"/>
  <c r="R171" i="1"/>
  <c r="S171" i="1"/>
  <c r="V171" i="1"/>
  <c r="B172" i="1"/>
  <c r="C172" i="1"/>
  <c r="D172" i="1"/>
  <c r="E172" i="1"/>
  <c r="F172" i="1"/>
  <c r="G172" i="1"/>
  <c r="H172" i="1"/>
  <c r="I172" i="1"/>
  <c r="J172" i="1"/>
  <c r="K172" i="1"/>
  <c r="L172" i="1" a="1"/>
  <c r="L172" i="1" s="1"/>
  <c r="N172" i="1" a="1"/>
  <c r="N172" i="1" s="1"/>
  <c r="R172" i="1"/>
  <c r="S172" i="1"/>
  <c r="V172" i="1"/>
  <c r="B173" i="1"/>
  <c r="C173" i="1"/>
  <c r="D173" i="1"/>
  <c r="E173" i="1"/>
  <c r="F173" i="1"/>
  <c r="G173" i="1"/>
  <c r="H173" i="1"/>
  <c r="I173" i="1"/>
  <c r="J173" i="1"/>
  <c r="K173" i="1"/>
  <c r="L173" i="1" a="1"/>
  <c r="L173" i="1" s="1"/>
  <c r="N173" i="1" a="1"/>
  <c r="N173" i="1" s="1"/>
  <c r="R173" i="1"/>
  <c r="S173" i="1"/>
  <c r="V173" i="1"/>
  <c r="B174" i="1"/>
  <c r="C174" i="1"/>
  <c r="D174" i="1"/>
  <c r="E174" i="1"/>
  <c r="F174" i="1"/>
  <c r="G174" i="1"/>
  <c r="H174" i="1"/>
  <c r="I174" i="1"/>
  <c r="J174" i="1"/>
  <c r="K174" i="1"/>
  <c r="L174" i="1" a="1"/>
  <c r="L174" i="1" s="1"/>
  <c r="N174" i="1" a="1"/>
  <c r="N174" i="1" s="1"/>
  <c r="R174" i="1"/>
  <c r="S174" i="1"/>
  <c r="V174" i="1"/>
  <c r="B176" i="1"/>
  <c r="C176" i="1"/>
  <c r="D176" i="1"/>
  <c r="E176" i="1"/>
  <c r="F176" i="1"/>
  <c r="G176" i="1"/>
  <c r="H176" i="1"/>
  <c r="I176" i="1"/>
  <c r="J176" i="1"/>
  <c r="K176" i="1"/>
  <c r="L176" i="1" a="1"/>
  <c r="L176" i="1" s="1"/>
  <c r="N176" i="1" a="1"/>
  <c r="N176" i="1" s="1"/>
  <c r="R176" i="1"/>
  <c r="S176" i="1"/>
  <c r="V176" i="1"/>
  <c r="B177" i="1"/>
  <c r="C177" i="1"/>
  <c r="D177" i="1"/>
  <c r="E177" i="1"/>
  <c r="F177" i="1"/>
  <c r="G177" i="1"/>
  <c r="H177" i="1"/>
  <c r="I177" i="1"/>
  <c r="J177" i="1"/>
  <c r="K177" i="1"/>
  <c r="L177" i="1" a="1"/>
  <c r="L177" i="1" s="1"/>
  <c r="N177" i="1" a="1"/>
  <c r="N177" i="1" s="1"/>
  <c r="R177" i="1"/>
  <c r="S177" i="1"/>
  <c r="V177" i="1"/>
  <c r="B178" i="1"/>
  <c r="C178" i="1"/>
  <c r="D178" i="1"/>
  <c r="E178" i="1"/>
  <c r="F178" i="1"/>
  <c r="G178" i="1"/>
  <c r="H178" i="1"/>
  <c r="I178" i="1"/>
  <c r="J178" i="1"/>
  <c r="K178" i="1"/>
  <c r="L178" i="1" a="1"/>
  <c r="L178" i="1" s="1"/>
  <c r="N178" i="1" a="1"/>
  <c r="N178" i="1" s="1"/>
  <c r="R178" i="1"/>
  <c r="S178" i="1"/>
  <c r="V178" i="1"/>
  <c r="B179" i="1"/>
  <c r="C179" i="1"/>
  <c r="D179" i="1"/>
  <c r="E179" i="1"/>
  <c r="F179" i="1"/>
  <c r="G179" i="1"/>
  <c r="H179" i="1"/>
  <c r="I179" i="1"/>
  <c r="J179" i="1"/>
  <c r="K179" i="1"/>
  <c r="L179" i="1" a="1"/>
  <c r="L179" i="1" s="1"/>
  <c r="N179" i="1" a="1"/>
  <c r="N179" i="1" s="1"/>
  <c r="R179" i="1"/>
  <c r="S179" i="1"/>
  <c r="V179" i="1"/>
  <c r="E175" i="1"/>
  <c r="E167" i="1"/>
  <c r="E154" i="1"/>
  <c r="E152" i="1"/>
  <c r="E151" i="1"/>
  <c r="E150" i="1"/>
  <c r="E148" i="1"/>
  <c r="E147" i="1"/>
  <c r="E143" i="1"/>
  <c r="E134" i="1"/>
  <c r="E132" i="1"/>
  <c r="E131" i="1"/>
  <c r="E40" i="1"/>
  <c r="E126" i="1"/>
  <c r="E125" i="1"/>
  <c r="E123" i="1"/>
  <c r="E121" i="1"/>
  <c r="E118" i="1"/>
  <c r="E117" i="1"/>
  <c r="E67" i="1"/>
  <c r="E115" i="1"/>
  <c r="E114" i="1"/>
  <c r="E111" i="1"/>
  <c r="E50" i="1"/>
  <c r="E22" i="1"/>
  <c r="E107" i="1"/>
  <c r="E106" i="1"/>
  <c r="E100" i="1"/>
  <c r="E98" i="1"/>
  <c r="E130" i="1"/>
  <c r="E93" i="1"/>
  <c r="E88" i="1"/>
  <c r="E87" i="1"/>
  <c r="E86" i="1"/>
  <c r="E85" i="1"/>
  <c r="E80" i="1"/>
  <c r="E79" i="1"/>
  <c r="E72" i="1"/>
  <c r="E95" i="1"/>
  <c r="E63" i="1"/>
  <c r="E62" i="1"/>
  <c r="E61" i="1"/>
  <c r="E60" i="1"/>
  <c r="E77" i="1"/>
  <c r="E46" i="1"/>
  <c r="E45" i="1"/>
  <c r="E44" i="1"/>
  <c r="E43" i="1"/>
  <c r="E54" i="1"/>
  <c r="E38" i="1"/>
  <c r="E34" i="1"/>
  <c r="E31" i="1"/>
  <c r="E30" i="1"/>
  <c r="E25" i="1"/>
  <c r="E24" i="1"/>
  <c r="E20" i="1"/>
  <c r="E16" i="1"/>
  <c r="E15" i="1"/>
  <c r="E14" i="1"/>
  <c r="E4" i="1"/>
  <c r="S14" i="1"/>
  <c r="S15" i="1"/>
  <c r="S16" i="1"/>
  <c r="S20" i="1"/>
  <c r="S24" i="1"/>
  <c r="S25" i="1"/>
  <c r="S30" i="1"/>
  <c r="S31" i="1"/>
  <c r="S34" i="1"/>
  <c r="S38" i="1"/>
  <c r="S54" i="1"/>
  <c r="S43" i="1"/>
  <c r="S44" i="1"/>
  <c r="S45" i="1"/>
  <c r="S46" i="1"/>
  <c r="S77" i="1"/>
  <c r="S60" i="1"/>
  <c r="S61" i="1"/>
  <c r="S62" i="1"/>
  <c r="S63" i="1"/>
  <c r="S47" i="1"/>
  <c r="S48" i="1"/>
  <c r="S95" i="1"/>
  <c r="S72" i="1"/>
  <c r="S79" i="1"/>
  <c r="S80" i="1"/>
  <c r="S84" i="1"/>
  <c r="S85" i="1"/>
  <c r="S86" i="1"/>
  <c r="S87" i="1"/>
  <c r="S88" i="1"/>
  <c r="S89" i="1"/>
  <c r="S90" i="1"/>
  <c r="S91" i="1"/>
  <c r="S93" i="1"/>
  <c r="S130" i="1"/>
  <c r="S98" i="1"/>
  <c r="S100" i="1"/>
  <c r="S106" i="1"/>
  <c r="S107" i="1"/>
  <c r="S22" i="1"/>
  <c r="S50" i="1"/>
  <c r="S111" i="1"/>
  <c r="S114" i="1"/>
  <c r="S115" i="1"/>
  <c r="S67" i="1"/>
  <c r="S117" i="1"/>
  <c r="S118" i="1"/>
  <c r="S121" i="1"/>
  <c r="S123" i="1"/>
  <c r="S125" i="1"/>
  <c r="S126" i="1"/>
  <c r="S40" i="1"/>
  <c r="S131" i="1"/>
  <c r="S132" i="1"/>
  <c r="S134" i="1"/>
  <c r="S143" i="1"/>
  <c r="S147" i="1"/>
  <c r="S148" i="1"/>
  <c r="S150" i="1"/>
  <c r="S151" i="1"/>
  <c r="S152" i="1"/>
  <c r="S153" i="1"/>
  <c r="S154" i="1"/>
  <c r="S156" i="1"/>
  <c r="S161" i="1"/>
  <c r="S167" i="1"/>
  <c r="S169" i="1"/>
  <c r="S175" i="1"/>
  <c r="S4" i="1"/>
  <c r="E305" i="6"/>
  <c r="E304" i="6"/>
  <c r="E297" i="6"/>
  <c r="E298" i="6"/>
  <c r="M170" i="1" s="1" a="1"/>
  <c r="M170" i="1" s="1"/>
  <c r="Q170" i="1" s="1"/>
  <c r="E299" i="6"/>
  <c r="M171" i="1" s="1" a="1"/>
  <c r="M171" i="1" s="1"/>
  <c r="Q171" i="1" s="1"/>
  <c r="E300" i="6"/>
  <c r="M172" i="1" s="1" a="1"/>
  <c r="M172" i="1" s="1"/>
  <c r="Q172" i="1" s="1"/>
  <c r="M173" i="1" a="1"/>
  <c r="M173" i="1" s="1"/>
  <c r="Q173" i="1" s="1"/>
  <c r="M174" i="1" a="1"/>
  <c r="M174" i="1" s="1"/>
  <c r="Q174" i="1" s="1"/>
  <c r="E296" i="6"/>
  <c r="M168" i="1" s="1" a="1"/>
  <c r="M168" i="1" s="1"/>
  <c r="Q168" i="1" s="1"/>
  <c r="E292" i="6"/>
  <c r="M164" i="1" s="1" a="1"/>
  <c r="M164" i="1" s="1"/>
  <c r="Q164" i="1" s="1"/>
  <c r="F312" i="6" l="1"/>
  <c r="O182" i="1" s="1" a="1"/>
  <c r="O182" i="1" s="1"/>
  <c r="H311" i="6" a="1"/>
  <c r="H311" i="6" s="1"/>
  <c r="O185" i="1" a="1"/>
  <c r="O185" i="1" s="1"/>
  <c r="F315" i="6"/>
  <c r="F314" i="6"/>
  <c r="O184" i="1" a="1"/>
  <c r="O184" i="1" s="1"/>
  <c r="M182" i="1" a="1"/>
  <c r="M182" i="1" s="1"/>
  <c r="Q182" i="1" s="1"/>
  <c r="M181" i="1" a="1"/>
  <c r="M181" i="1" s="1"/>
  <c r="Q181" i="1" s="1"/>
  <c r="M183" i="1" a="1"/>
  <c r="M183" i="1" s="1"/>
  <c r="Q183" i="1" s="1"/>
  <c r="M178" i="1" a="1"/>
  <c r="M178" i="1" s="1"/>
  <c r="Q178" i="1" s="1"/>
  <c r="M180" i="1" a="1"/>
  <c r="M180" i="1" s="1"/>
  <c r="Q180" i="1" s="1"/>
  <c r="M176" i="1" a="1"/>
  <c r="M176" i="1" s="1"/>
  <c r="Q176" i="1" s="1"/>
  <c r="M177" i="1" a="1"/>
  <c r="M177" i="1" s="1"/>
  <c r="Q177" i="1" s="1"/>
  <c r="M179" i="1" a="1"/>
  <c r="M179" i="1" s="1"/>
  <c r="Q179" i="1" s="1"/>
  <c r="F310" i="6"/>
  <c r="H310" i="6" a="1"/>
  <c r="H310" i="6" s="1"/>
  <c r="F309" i="6"/>
  <c r="H309" i="6" a="1"/>
  <c r="H309" i="6" s="1"/>
  <c r="F308" i="6"/>
  <c r="H308" i="6" a="1"/>
  <c r="H308" i="6" s="1"/>
  <c r="H307" i="6" a="1"/>
  <c r="H307" i="6" s="1"/>
  <c r="F307" i="6"/>
  <c r="H306" i="6" a="1"/>
  <c r="H306" i="6" s="1"/>
  <c r="F306" i="6"/>
  <c r="F305" i="6"/>
  <c r="H305" i="6" a="1"/>
  <c r="H305" i="6" s="1"/>
  <c r="F304" i="6"/>
  <c r="O176" i="1" s="1" a="1"/>
  <c r="O176" i="1" s="1"/>
  <c r="H304" i="6" a="1"/>
  <c r="H304" i="6" s="1"/>
  <c r="B175" i="1"/>
  <c r="C175" i="1"/>
  <c r="D175" i="1"/>
  <c r="F175" i="1"/>
  <c r="G175" i="1"/>
  <c r="H175" i="1"/>
  <c r="I175" i="1"/>
  <c r="J175" i="1"/>
  <c r="K175" i="1"/>
  <c r="L175" i="1" a="1"/>
  <c r="L175" i="1" s="1"/>
  <c r="M175" i="1" a="1"/>
  <c r="M175" i="1" s="1"/>
  <c r="Q175" i="1" s="1"/>
  <c r="N175" i="1" a="1"/>
  <c r="N175" i="1" s="1"/>
  <c r="R175" i="1"/>
  <c r="F303" i="6"/>
  <c r="O175" i="1" s="1" a="1"/>
  <c r="O175" i="1" s="1"/>
  <c r="H303" i="6" a="1"/>
  <c r="H303" i="6" s="1"/>
  <c r="F302" i="6"/>
  <c r="H302" i="6" a="1"/>
  <c r="H302" i="6" s="1"/>
  <c r="F301" i="6"/>
  <c r="O173" i="1" s="1" a="1"/>
  <c r="O173" i="1" s="1"/>
  <c r="H301" i="6" a="1"/>
  <c r="H301" i="6" s="1"/>
  <c r="F300" i="6"/>
  <c r="O172" i="1" s="1" a="1"/>
  <c r="O172" i="1" s="1"/>
  <c r="H300" i="6" a="1"/>
  <c r="H300" i="6" s="1"/>
  <c r="B169" i="1"/>
  <c r="C169" i="1"/>
  <c r="D169" i="1"/>
  <c r="F169" i="1"/>
  <c r="G169" i="1"/>
  <c r="H169" i="1"/>
  <c r="I169" i="1"/>
  <c r="J169" i="1"/>
  <c r="K169" i="1"/>
  <c r="L169" i="1" a="1"/>
  <c r="L169" i="1" s="1"/>
  <c r="M169" i="1" a="1"/>
  <c r="M169" i="1" s="1"/>
  <c r="Q169" i="1" s="1"/>
  <c r="N169" i="1" a="1"/>
  <c r="N169" i="1" s="1"/>
  <c r="R169" i="1"/>
  <c r="B167" i="1"/>
  <c r="C167" i="1"/>
  <c r="D167" i="1"/>
  <c r="F167" i="1"/>
  <c r="G167" i="1"/>
  <c r="H167" i="1"/>
  <c r="I167" i="1"/>
  <c r="J167" i="1"/>
  <c r="K167" i="1"/>
  <c r="L167" i="1" a="1"/>
  <c r="L167" i="1" s="1"/>
  <c r="M167" i="1" a="1"/>
  <c r="M167" i="1" s="1"/>
  <c r="Q167" i="1" s="1"/>
  <c r="N167" i="1" a="1"/>
  <c r="N167" i="1" s="1"/>
  <c r="O167" i="1" a="1"/>
  <c r="O167" i="1" s="1"/>
  <c r="R167" i="1"/>
  <c r="F299" i="6"/>
  <c r="O171" i="1" s="1" a="1"/>
  <c r="O171" i="1" s="1"/>
  <c r="H299" i="6" a="1"/>
  <c r="H299" i="6" s="1"/>
  <c r="F298" i="6"/>
  <c r="O170" i="1" s="1" a="1"/>
  <c r="O170" i="1" s="1"/>
  <c r="H298" i="6" a="1"/>
  <c r="H298" i="6" s="1"/>
  <c r="F297" i="6"/>
  <c r="O169" i="1" s="1" a="1"/>
  <c r="O169" i="1" s="1"/>
  <c r="H297" i="6" a="1"/>
  <c r="H297" i="6" s="1"/>
  <c r="F296" i="6"/>
  <c r="O168" i="1" s="1" a="1"/>
  <c r="O168" i="1" s="1"/>
  <c r="H296" i="6" a="1"/>
  <c r="H296" i="6" s="1"/>
  <c r="F295" i="6"/>
  <c r="H295" i="6" a="1"/>
  <c r="H295" i="6" s="1"/>
  <c r="F294" i="6"/>
  <c r="O166" i="1" s="1" a="1"/>
  <c r="O166" i="1" s="1"/>
  <c r="H294" i="6" a="1"/>
  <c r="H294" i="6" s="1"/>
  <c r="F293" i="6"/>
  <c r="O165" i="1" s="1" a="1"/>
  <c r="O165" i="1" s="1"/>
  <c r="H293" i="6" a="1"/>
  <c r="H293" i="6" s="1"/>
  <c r="F292" i="6"/>
  <c r="O164" i="1" s="1" a="1"/>
  <c r="O164" i="1" s="1"/>
  <c r="H292" i="6" a="1"/>
  <c r="H292" i="6" s="1"/>
  <c r="F289" i="6"/>
  <c r="O161" i="1" s="1" a="1"/>
  <c r="O161" i="1" s="1"/>
  <c r="E291" i="6"/>
  <c r="H291" i="6" a="1"/>
  <c r="H291" i="6" s="1"/>
  <c r="B161" i="1"/>
  <c r="C161" i="1"/>
  <c r="D161" i="1"/>
  <c r="F161" i="1"/>
  <c r="G161" i="1"/>
  <c r="H161" i="1"/>
  <c r="I161" i="1"/>
  <c r="J161" i="1"/>
  <c r="K161" i="1"/>
  <c r="L161" i="1" a="1"/>
  <c r="L161" i="1" s="1"/>
  <c r="M161" i="1" a="1"/>
  <c r="M161" i="1" s="1"/>
  <c r="Q161" i="1" s="1"/>
  <c r="N161" i="1" a="1"/>
  <c r="N161" i="1" s="1"/>
  <c r="R161" i="1"/>
  <c r="H290" i="6" a="1"/>
  <c r="H290" i="6" s="1"/>
  <c r="F290" i="6"/>
  <c r="O162" i="1" s="1" a="1"/>
  <c r="O162" i="1" s="1"/>
  <c r="H289" i="6" a="1"/>
  <c r="H289" i="6" s="1"/>
  <c r="H287" i="6" a="1"/>
  <c r="H287" i="6" s="1"/>
  <c r="H288" i="6" a="1"/>
  <c r="H288" i="6" s="1"/>
  <c r="F286" i="6"/>
  <c r="F279" i="6"/>
  <c r="O148" i="1" s="1" a="1"/>
  <c r="O148" i="1" s="1"/>
  <c r="F278" i="6"/>
  <c r="O147" i="1" s="1" a="1"/>
  <c r="O147" i="1" s="1"/>
  <c r="B156" i="1"/>
  <c r="C156" i="1"/>
  <c r="D156" i="1"/>
  <c r="F156" i="1"/>
  <c r="G156" i="1"/>
  <c r="H156" i="1"/>
  <c r="I156" i="1"/>
  <c r="J156" i="1"/>
  <c r="K156" i="1"/>
  <c r="L156" i="1" a="1"/>
  <c r="L156" i="1" s="1"/>
  <c r="M156" i="1" a="1"/>
  <c r="M156" i="1" s="1"/>
  <c r="Q156" i="1" s="1"/>
  <c r="N156" i="1" a="1"/>
  <c r="N156" i="1" s="1"/>
  <c r="O156" i="1" a="1"/>
  <c r="O156" i="1" s="1"/>
  <c r="R156" i="1"/>
  <c r="H286" i="6" a="1"/>
  <c r="H286" i="6" s="1"/>
  <c r="B153" i="1"/>
  <c r="C153" i="1"/>
  <c r="D153" i="1"/>
  <c r="F153" i="1"/>
  <c r="G153" i="1"/>
  <c r="H153" i="1"/>
  <c r="I153" i="1"/>
  <c r="J153" i="1"/>
  <c r="K153" i="1"/>
  <c r="L153" i="1" a="1"/>
  <c r="L153" i="1" s="1"/>
  <c r="M153" i="1" a="1"/>
  <c r="M153" i="1" s="1"/>
  <c r="Q153" i="1" s="1"/>
  <c r="N153" i="1" a="1"/>
  <c r="N153" i="1" s="1"/>
  <c r="O153" i="1" a="1"/>
  <c r="O153" i="1" s="1"/>
  <c r="R153" i="1"/>
  <c r="B154" i="1"/>
  <c r="C154" i="1"/>
  <c r="D154" i="1"/>
  <c r="F154" i="1"/>
  <c r="G154" i="1"/>
  <c r="H154" i="1"/>
  <c r="I154" i="1"/>
  <c r="J154" i="1"/>
  <c r="K154" i="1"/>
  <c r="L154" i="1" a="1"/>
  <c r="L154" i="1" s="1"/>
  <c r="M154" i="1" a="1"/>
  <c r="M154" i="1" s="1"/>
  <c r="Q154" i="1" s="1"/>
  <c r="N154" i="1" a="1"/>
  <c r="N154" i="1" s="1"/>
  <c r="O154" i="1" a="1"/>
  <c r="O154" i="1" s="1"/>
  <c r="R154" i="1"/>
  <c r="B143" i="1"/>
  <c r="C143" i="1"/>
  <c r="D143" i="1"/>
  <c r="F143" i="1"/>
  <c r="G143" i="1"/>
  <c r="H143" i="1"/>
  <c r="I143" i="1"/>
  <c r="J143" i="1"/>
  <c r="K143" i="1"/>
  <c r="L143" i="1" a="1"/>
  <c r="L143" i="1" s="1"/>
  <c r="M143" i="1" a="1"/>
  <c r="M143" i="1" s="1"/>
  <c r="Q143" i="1" s="1"/>
  <c r="N143" i="1" a="1"/>
  <c r="N143" i="1" s="1"/>
  <c r="R143" i="1"/>
  <c r="B147" i="1"/>
  <c r="C147" i="1"/>
  <c r="D147" i="1"/>
  <c r="F147" i="1"/>
  <c r="G147" i="1"/>
  <c r="H147" i="1"/>
  <c r="I147" i="1"/>
  <c r="J147" i="1"/>
  <c r="K147" i="1"/>
  <c r="L147" i="1" a="1"/>
  <c r="L147" i="1" s="1"/>
  <c r="M147" i="1" a="1"/>
  <c r="M147" i="1" s="1"/>
  <c r="Q147" i="1" s="1"/>
  <c r="N147" i="1" a="1"/>
  <c r="N147" i="1" s="1"/>
  <c r="R147" i="1"/>
  <c r="B148" i="1"/>
  <c r="C148" i="1"/>
  <c r="D148" i="1"/>
  <c r="F148" i="1"/>
  <c r="G148" i="1"/>
  <c r="H148" i="1"/>
  <c r="I148" i="1"/>
  <c r="J148" i="1"/>
  <c r="K148" i="1"/>
  <c r="L148" i="1" a="1"/>
  <c r="L148" i="1" s="1"/>
  <c r="M148" i="1" a="1"/>
  <c r="M148" i="1" s="1"/>
  <c r="Q148" i="1" s="1"/>
  <c r="N148" i="1" a="1"/>
  <c r="N148" i="1" s="1"/>
  <c r="R148" i="1"/>
  <c r="B150" i="1"/>
  <c r="C150" i="1"/>
  <c r="D150" i="1"/>
  <c r="F150" i="1"/>
  <c r="G150" i="1"/>
  <c r="H150" i="1"/>
  <c r="I150" i="1"/>
  <c r="J150" i="1"/>
  <c r="K150" i="1"/>
  <c r="L150" i="1" a="1"/>
  <c r="L150" i="1" s="1"/>
  <c r="M150" i="1" a="1"/>
  <c r="M150" i="1" s="1"/>
  <c r="Q150" i="1" s="1"/>
  <c r="N150" i="1" a="1"/>
  <c r="N150" i="1" s="1"/>
  <c r="O150" i="1" a="1"/>
  <c r="O150" i="1" s="1"/>
  <c r="R150" i="1"/>
  <c r="B151" i="1"/>
  <c r="C151" i="1"/>
  <c r="D151" i="1"/>
  <c r="F151" i="1"/>
  <c r="G151" i="1"/>
  <c r="H151" i="1"/>
  <c r="I151" i="1"/>
  <c r="J151" i="1"/>
  <c r="K151" i="1"/>
  <c r="L151" i="1" a="1"/>
  <c r="L151" i="1" s="1"/>
  <c r="M151" i="1" a="1"/>
  <c r="M151" i="1" s="1"/>
  <c r="Q151" i="1" s="1"/>
  <c r="N151" i="1" a="1"/>
  <c r="N151" i="1" s="1"/>
  <c r="O151" i="1" a="1"/>
  <c r="O151" i="1" s="1"/>
  <c r="R151" i="1"/>
  <c r="B152" i="1"/>
  <c r="C152" i="1"/>
  <c r="D152" i="1"/>
  <c r="F152" i="1"/>
  <c r="G152" i="1"/>
  <c r="H152" i="1"/>
  <c r="I152" i="1"/>
  <c r="J152" i="1"/>
  <c r="K152" i="1"/>
  <c r="L152" i="1" a="1"/>
  <c r="L152" i="1" s="1"/>
  <c r="M152" i="1" a="1"/>
  <c r="M152" i="1" s="1"/>
  <c r="Q152" i="1" s="1"/>
  <c r="N152" i="1" a="1"/>
  <c r="N152" i="1" s="1"/>
  <c r="O152" i="1" a="1"/>
  <c r="O152" i="1" s="1"/>
  <c r="R152" i="1"/>
  <c r="H285" i="6" a="1"/>
  <c r="H285" i="6" s="1"/>
  <c r="H284" i="6" a="1"/>
  <c r="H284" i="6" s="1"/>
  <c r="H283" i="6" a="1"/>
  <c r="H283" i="6" s="1"/>
  <c r="H282" i="6" a="1"/>
  <c r="H282" i="6" s="1"/>
  <c r="H281" i="6" a="1"/>
  <c r="H281" i="6" s="1"/>
  <c r="H280" i="6" a="1"/>
  <c r="H280" i="6" s="1"/>
  <c r="H279" i="6" a="1"/>
  <c r="H279" i="6" s="1"/>
  <c r="H278" i="6" a="1"/>
  <c r="H278" i="6" s="1"/>
  <c r="H277" i="6" a="1"/>
  <c r="H277" i="6" s="1"/>
  <c r="F277" i="6"/>
  <c r="O146" i="1" s="1" a="1"/>
  <c r="O146" i="1" s="1"/>
  <c r="M21" i="1" a="1"/>
  <c r="M21" i="1" s="1"/>
  <c r="Q21" i="1" s="1"/>
  <c r="D276" i="6"/>
  <c r="F275" i="6"/>
  <c r="O144" i="1" s="1" a="1"/>
  <c r="O144" i="1" s="1"/>
  <c r="H275" i="6" a="1"/>
  <c r="H275" i="6" s="1"/>
  <c r="F274" i="6"/>
  <c r="H274" i="6" a="1"/>
  <c r="H274" i="6" s="1"/>
  <c r="F273" i="6"/>
  <c r="O143" i="1" s="1" a="1"/>
  <c r="O143" i="1" s="1"/>
  <c r="H273" i="6" a="1"/>
  <c r="H273" i="6" s="1"/>
  <c r="H272" i="6" a="1"/>
  <c r="H272" i="6" s="1"/>
  <c r="F272" i="6"/>
  <c r="D271" i="6"/>
  <c r="M142" i="1" a="1"/>
  <c r="M142" i="1" s="1"/>
  <c r="Q142" i="1" s="1"/>
  <c r="F270" i="6"/>
  <c r="O141" i="1" s="1" a="1"/>
  <c r="O141" i="1" s="1"/>
  <c r="H270" i="6" a="1"/>
  <c r="H270" i="6" s="1"/>
  <c r="F269" i="6"/>
  <c r="H269" i="6" a="1"/>
  <c r="H269" i="6" s="1"/>
  <c r="F268" i="6"/>
  <c r="O140" i="1" s="1" a="1"/>
  <c r="O140" i="1" s="1"/>
  <c r="H268" i="6" a="1"/>
  <c r="H268" i="6" s="1"/>
  <c r="F267" i="6"/>
  <c r="H267" i="6" a="1"/>
  <c r="H267" i="6" s="1"/>
  <c r="F266" i="6"/>
  <c r="O139" i="1" s="1" a="1"/>
  <c r="O139" i="1" s="1"/>
  <c r="H266" i="6" a="1"/>
  <c r="H266" i="6" s="1"/>
  <c r="F265" i="6"/>
  <c r="H265" i="6" a="1"/>
  <c r="H265" i="6" s="1"/>
  <c r="F264" i="6"/>
  <c r="H264" i="6" a="1"/>
  <c r="H264" i="6" s="1"/>
  <c r="H247" i="6" a="1"/>
  <c r="H247" i="6" s="1"/>
  <c r="H248" i="6" a="1"/>
  <c r="H248" i="6" s="1"/>
  <c r="H249" i="6" a="1"/>
  <c r="H249" i="6" s="1"/>
  <c r="H250" i="6" a="1"/>
  <c r="H250" i="6" s="1"/>
  <c r="H251" i="6" a="1"/>
  <c r="H251" i="6" s="1"/>
  <c r="H252" i="6" a="1"/>
  <c r="H252" i="6" s="1"/>
  <c r="H253" i="6" a="1"/>
  <c r="H253" i="6" s="1"/>
  <c r="H254" i="6" a="1"/>
  <c r="H254" i="6" s="1"/>
  <c r="H255" i="6" a="1"/>
  <c r="H255" i="6" s="1"/>
  <c r="H256" i="6" a="1"/>
  <c r="H256" i="6" s="1"/>
  <c r="H257" i="6" a="1"/>
  <c r="H257" i="6" s="1"/>
  <c r="H258" i="6" a="1"/>
  <c r="H258" i="6" s="1"/>
  <c r="H259" i="6" a="1"/>
  <c r="H259" i="6" s="1"/>
  <c r="H260" i="6" a="1"/>
  <c r="H260" i="6" s="1"/>
  <c r="H261" i="6" a="1"/>
  <c r="H261" i="6" s="1"/>
  <c r="H262" i="6" a="1"/>
  <c r="H262" i="6" s="1"/>
  <c r="H263" i="6" a="1"/>
  <c r="H263" i="6" s="1"/>
  <c r="F263" i="6"/>
  <c r="F262" i="6"/>
  <c r="O138" i="1" s="1" a="1"/>
  <c r="O138" i="1" s="1"/>
  <c r="F261" i="6"/>
  <c r="F260" i="6"/>
  <c r="O137" i="1" s="1" a="1"/>
  <c r="O137" i="1" s="1"/>
  <c r="F259" i="6"/>
  <c r="F258" i="6"/>
  <c r="O136" i="1" s="1" a="1"/>
  <c r="O136" i="1" s="1"/>
  <c r="F257" i="6"/>
  <c r="B121" i="1"/>
  <c r="C121" i="1"/>
  <c r="D121" i="1"/>
  <c r="F121" i="1"/>
  <c r="G121" i="1"/>
  <c r="H121" i="1"/>
  <c r="I121" i="1"/>
  <c r="J121" i="1"/>
  <c r="K121" i="1"/>
  <c r="L121" i="1" a="1"/>
  <c r="L121" i="1" s="1"/>
  <c r="M121" i="1" a="1"/>
  <c r="M121" i="1" s="1"/>
  <c r="Q121" i="1" s="1"/>
  <c r="N121" i="1" a="1"/>
  <c r="N121" i="1" s="1"/>
  <c r="R121" i="1"/>
  <c r="B123" i="1"/>
  <c r="C123" i="1"/>
  <c r="D123" i="1"/>
  <c r="F123" i="1"/>
  <c r="G123" i="1"/>
  <c r="H123" i="1"/>
  <c r="I123" i="1"/>
  <c r="J123" i="1"/>
  <c r="K123" i="1"/>
  <c r="L123" i="1" a="1"/>
  <c r="L123" i="1" s="1"/>
  <c r="M123" i="1" a="1"/>
  <c r="M123" i="1" s="1"/>
  <c r="Q123" i="1" s="1"/>
  <c r="N123" i="1" a="1"/>
  <c r="N123" i="1" s="1"/>
  <c r="R123" i="1"/>
  <c r="B125" i="1"/>
  <c r="C125" i="1"/>
  <c r="D125" i="1"/>
  <c r="F125" i="1"/>
  <c r="G125" i="1"/>
  <c r="H125" i="1"/>
  <c r="I125" i="1"/>
  <c r="J125" i="1"/>
  <c r="K125" i="1"/>
  <c r="L125" i="1" a="1"/>
  <c r="L125" i="1" s="1"/>
  <c r="M125" i="1" a="1"/>
  <c r="M125" i="1" s="1"/>
  <c r="Q125" i="1" s="1"/>
  <c r="N125" i="1" a="1"/>
  <c r="N125" i="1" s="1"/>
  <c r="R125" i="1"/>
  <c r="B126" i="1"/>
  <c r="C126" i="1"/>
  <c r="D126" i="1"/>
  <c r="F126" i="1"/>
  <c r="G126" i="1"/>
  <c r="H126" i="1"/>
  <c r="I126" i="1"/>
  <c r="J126" i="1"/>
  <c r="K126" i="1"/>
  <c r="L126" i="1" a="1"/>
  <c r="L126" i="1" s="1"/>
  <c r="M126" i="1" a="1"/>
  <c r="M126" i="1" s="1"/>
  <c r="Q126" i="1" s="1"/>
  <c r="N126" i="1" a="1"/>
  <c r="N126" i="1" s="1"/>
  <c r="R126" i="1"/>
  <c r="B40" i="1"/>
  <c r="C40" i="1"/>
  <c r="D40" i="1"/>
  <c r="F40" i="1"/>
  <c r="G40" i="1"/>
  <c r="H40" i="1"/>
  <c r="I40" i="1"/>
  <c r="J40" i="1"/>
  <c r="K40" i="1"/>
  <c r="L40" i="1" a="1"/>
  <c r="L40" i="1" s="1"/>
  <c r="M40" i="1" a="1"/>
  <c r="M40" i="1" s="1"/>
  <c r="Q40" i="1" s="1"/>
  <c r="N40" i="1" a="1"/>
  <c r="N40" i="1" s="1"/>
  <c r="R40" i="1"/>
  <c r="B131" i="1"/>
  <c r="C131" i="1"/>
  <c r="D131" i="1"/>
  <c r="F131" i="1"/>
  <c r="G131" i="1"/>
  <c r="H131" i="1"/>
  <c r="I131" i="1"/>
  <c r="J131" i="1"/>
  <c r="K131" i="1"/>
  <c r="L131" i="1" a="1"/>
  <c r="L131" i="1" s="1"/>
  <c r="M131" i="1" a="1"/>
  <c r="M131" i="1" s="1"/>
  <c r="Q131" i="1" s="1"/>
  <c r="N131" i="1" a="1"/>
  <c r="N131" i="1" s="1"/>
  <c r="R131" i="1"/>
  <c r="B132" i="1"/>
  <c r="C132" i="1"/>
  <c r="D132" i="1"/>
  <c r="F132" i="1"/>
  <c r="G132" i="1"/>
  <c r="H132" i="1"/>
  <c r="I132" i="1"/>
  <c r="J132" i="1"/>
  <c r="K132" i="1"/>
  <c r="L132" i="1" a="1"/>
  <c r="L132" i="1" s="1"/>
  <c r="M132" i="1" a="1"/>
  <c r="M132" i="1" s="1"/>
  <c r="Q132" i="1" s="1"/>
  <c r="N132" i="1" a="1"/>
  <c r="N132" i="1" s="1"/>
  <c r="R132" i="1"/>
  <c r="B134" i="1"/>
  <c r="C134" i="1"/>
  <c r="D134" i="1"/>
  <c r="F134" i="1"/>
  <c r="G134" i="1"/>
  <c r="H134" i="1"/>
  <c r="I134" i="1"/>
  <c r="J134" i="1"/>
  <c r="K134" i="1"/>
  <c r="L134" i="1" a="1"/>
  <c r="L134" i="1" s="1"/>
  <c r="M134" i="1" a="1"/>
  <c r="M134" i="1" s="1"/>
  <c r="Q134" i="1" s="1"/>
  <c r="N134" i="1" a="1"/>
  <c r="N134" i="1" s="1"/>
  <c r="R134" i="1"/>
  <c r="F256" i="6"/>
  <c r="O135" i="1" s="1" a="1"/>
  <c r="O135" i="1" s="1"/>
  <c r="F255" i="6"/>
  <c r="F254" i="6"/>
  <c r="O134" i="1" s="1" a="1"/>
  <c r="O134" i="1" s="1"/>
  <c r="F253" i="6"/>
  <c r="F252" i="6"/>
  <c r="O133" i="1" s="1" a="1"/>
  <c r="O133" i="1" s="1"/>
  <c r="M68" i="1" a="1"/>
  <c r="M68" i="1" s="1"/>
  <c r="Q68" i="1" s="1"/>
  <c r="D246" i="6"/>
  <c r="L68" i="1" s="1" a="1"/>
  <c r="L68" i="1" s="1"/>
  <c r="N189" i="6"/>
  <c r="F251" i="6"/>
  <c r="F250" i="6"/>
  <c r="O132" i="1" s="1" a="1"/>
  <c r="O132" i="1" s="1"/>
  <c r="F249" i="6"/>
  <c r="F248" i="6"/>
  <c r="O131" i="1" s="1" a="1"/>
  <c r="O131" i="1" s="1"/>
  <c r="F247" i="6"/>
  <c r="F245" i="6"/>
  <c r="O40" i="1" s="1" a="1"/>
  <c r="O40" i="1" s="1"/>
  <c r="H245" i="6" a="1"/>
  <c r="H245" i="6" s="1"/>
  <c r="F244" i="6"/>
  <c r="H244" i="6" a="1"/>
  <c r="H244" i="6" s="1"/>
  <c r="F243" i="6"/>
  <c r="O18" i="1" s="1" a="1"/>
  <c r="O18" i="1" s="1"/>
  <c r="H243" i="6" a="1"/>
  <c r="H243" i="6" s="1"/>
  <c r="F242" i="6"/>
  <c r="H242" i="6" a="1"/>
  <c r="H242" i="6" s="1"/>
  <c r="F241" i="6"/>
  <c r="O127" i="1" s="1" a="1"/>
  <c r="O127" i="1" s="1"/>
  <c r="H241" i="6" a="1"/>
  <c r="H241" i="6" s="1"/>
  <c r="F240" i="6"/>
  <c r="H240" i="6" a="1"/>
  <c r="H240" i="6" s="1"/>
  <c r="F239" i="6"/>
  <c r="O126" i="1" s="1" a="1"/>
  <c r="O126" i="1" s="1"/>
  <c r="H239" i="6" a="1"/>
  <c r="H239" i="6" s="1"/>
  <c r="F238" i="6"/>
  <c r="H238" i="6" a="1"/>
  <c r="H238" i="6" s="1"/>
  <c r="F237" i="6"/>
  <c r="O125" i="1" s="1" a="1"/>
  <c r="O125" i="1" s="1"/>
  <c r="H237" i="6" a="1"/>
  <c r="H237" i="6" s="1"/>
  <c r="F236" i="6"/>
  <c r="H236" i="6" a="1"/>
  <c r="H236" i="6" s="1"/>
  <c r="F235" i="6"/>
  <c r="O124" i="1" s="1" a="1"/>
  <c r="O124" i="1" s="1"/>
  <c r="H235" i="6" a="1"/>
  <c r="H235" i="6" s="1"/>
  <c r="F234" i="6"/>
  <c r="H234" i="6" a="1"/>
  <c r="H234" i="6" s="1"/>
  <c r="F233" i="6"/>
  <c r="O123" i="1" s="1" a="1"/>
  <c r="O123" i="1" s="1"/>
  <c r="H233" i="6" a="1"/>
  <c r="H233" i="6" s="1"/>
  <c r="F232" i="6"/>
  <c r="H232" i="6" a="1"/>
  <c r="H232" i="6" s="1"/>
  <c r="F231" i="6"/>
  <c r="O122" i="1" s="1" a="1"/>
  <c r="O122" i="1" s="1"/>
  <c r="H231" i="6" a="1"/>
  <c r="H231" i="6" s="1"/>
  <c r="F230" i="6"/>
  <c r="H230" i="6" a="1"/>
  <c r="H230" i="6" s="1"/>
  <c r="F229" i="6"/>
  <c r="O121" i="1" s="1" a="1"/>
  <c r="O121" i="1" s="1"/>
  <c r="H229" i="6" a="1"/>
  <c r="H229" i="6" s="1"/>
  <c r="F228" i="6"/>
  <c r="H228" i="6" a="1"/>
  <c r="H228" i="6" s="1"/>
  <c r="M97" i="1" a="1"/>
  <c r="M97" i="1" s="1"/>
  <c r="Q97" i="1" s="1"/>
  <c r="D184" i="6"/>
  <c r="M96" i="1" a="1"/>
  <c r="M96" i="1" s="1"/>
  <c r="Q96" i="1" s="1"/>
  <c r="D183" i="6"/>
  <c r="L96" i="1" s="1" a="1"/>
  <c r="L96" i="1" s="1"/>
  <c r="F193" i="6"/>
  <c r="M103" i="1" a="1"/>
  <c r="M103" i="1" s="1"/>
  <c r="Q103" i="1" s="1"/>
  <c r="D192" i="6"/>
  <c r="D191" i="6"/>
  <c r="M102" i="1" a="1"/>
  <c r="M102" i="1" s="1"/>
  <c r="Q102" i="1" s="1"/>
  <c r="D190" i="6"/>
  <c r="M101" i="1" a="1"/>
  <c r="M101" i="1" s="1"/>
  <c r="Q101" i="1" s="1"/>
  <c r="I14" i="1"/>
  <c r="I15" i="1"/>
  <c r="I16" i="1"/>
  <c r="I20" i="1"/>
  <c r="J100" i="1"/>
  <c r="R100" i="1"/>
  <c r="F227" i="6"/>
  <c r="O17" i="1" s="1" a="1"/>
  <c r="O17" i="1" s="1"/>
  <c r="H227" i="6" a="1"/>
  <c r="H227" i="6" s="1"/>
  <c r="F226" i="6"/>
  <c r="H226" i="6" a="1"/>
  <c r="H226" i="6" s="1"/>
  <c r="B106" i="1"/>
  <c r="C106" i="1"/>
  <c r="D106" i="1"/>
  <c r="F106" i="1"/>
  <c r="G106" i="1"/>
  <c r="H106" i="1"/>
  <c r="I106" i="1"/>
  <c r="J106" i="1"/>
  <c r="K106" i="1"/>
  <c r="L106" i="1" a="1"/>
  <c r="L106" i="1" s="1"/>
  <c r="M106" i="1" a="1"/>
  <c r="M106" i="1" s="1"/>
  <c r="Q106" i="1" s="1"/>
  <c r="N106" i="1" a="1"/>
  <c r="N106" i="1" s="1"/>
  <c r="R106" i="1"/>
  <c r="B107" i="1"/>
  <c r="C107" i="1"/>
  <c r="D107" i="1"/>
  <c r="F107" i="1"/>
  <c r="G107" i="1"/>
  <c r="H107" i="1"/>
  <c r="I107" i="1"/>
  <c r="J107" i="1"/>
  <c r="K107" i="1"/>
  <c r="L107" i="1" a="1"/>
  <c r="L107" i="1" s="1"/>
  <c r="M107" i="1" a="1"/>
  <c r="M107" i="1" s="1"/>
  <c r="Q107" i="1" s="1"/>
  <c r="N107" i="1" a="1"/>
  <c r="N107" i="1" s="1"/>
  <c r="R107" i="1"/>
  <c r="B22" i="1"/>
  <c r="C22" i="1"/>
  <c r="D22" i="1"/>
  <c r="F22" i="1"/>
  <c r="G22" i="1"/>
  <c r="H22" i="1"/>
  <c r="I22" i="1"/>
  <c r="J22" i="1"/>
  <c r="K22" i="1"/>
  <c r="L22" i="1" a="1"/>
  <c r="L22" i="1" s="1"/>
  <c r="M22" i="1" a="1"/>
  <c r="M22" i="1" s="1"/>
  <c r="Q22" i="1" s="1"/>
  <c r="N22" i="1" a="1"/>
  <c r="N22" i="1" s="1"/>
  <c r="R22" i="1"/>
  <c r="B50" i="1"/>
  <c r="C50" i="1"/>
  <c r="D50" i="1"/>
  <c r="F50" i="1"/>
  <c r="G50" i="1"/>
  <c r="H50" i="1"/>
  <c r="I50" i="1"/>
  <c r="J50" i="1"/>
  <c r="K50" i="1"/>
  <c r="L50" i="1" a="1"/>
  <c r="L50" i="1" s="1"/>
  <c r="M50" i="1" a="1"/>
  <c r="M50" i="1" s="1"/>
  <c r="Q50" i="1" s="1"/>
  <c r="N50" i="1" a="1"/>
  <c r="N50" i="1" s="1"/>
  <c r="R50" i="1"/>
  <c r="B111" i="1"/>
  <c r="C111" i="1"/>
  <c r="D111" i="1"/>
  <c r="F111" i="1"/>
  <c r="G111" i="1"/>
  <c r="H111" i="1"/>
  <c r="I111" i="1"/>
  <c r="J111" i="1"/>
  <c r="K111" i="1"/>
  <c r="L111" i="1" a="1"/>
  <c r="L111" i="1" s="1"/>
  <c r="M111" i="1" a="1"/>
  <c r="M111" i="1" s="1"/>
  <c r="Q111" i="1" s="1"/>
  <c r="N111" i="1" a="1"/>
  <c r="N111" i="1" s="1"/>
  <c r="R111" i="1"/>
  <c r="B114" i="1"/>
  <c r="C114" i="1"/>
  <c r="D114" i="1"/>
  <c r="F114" i="1"/>
  <c r="G114" i="1"/>
  <c r="H114" i="1"/>
  <c r="I114" i="1"/>
  <c r="J114" i="1"/>
  <c r="K114" i="1"/>
  <c r="L114" i="1" a="1"/>
  <c r="L114" i="1" s="1"/>
  <c r="M114" i="1" a="1"/>
  <c r="M114" i="1" s="1"/>
  <c r="Q114" i="1" s="1"/>
  <c r="N114" i="1" a="1"/>
  <c r="N114" i="1" s="1"/>
  <c r="R114" i="1"/>
  <c r="B115" i="1"/>
  <c r="C115" i="1"/>
  <c r="D115" i="1"/>
  <c r="F115" i="1"/>
  <c r="G115" i="1"/>
  <c r="H115" i="1"/>
  <c r="I115" i="1"/>
  <c r="J115" i="1"/>
  <c r="K115" i="1"/>
  <c r="L115" i="1" a="1"/>
  <c r="L115" i="1" s="1"/>
  <c r="M115" i="1" a="1"/>
  <c r="M115" i="1" s="1"/>
  <c r="Q115" i="1" s="1"/>
  <c r="N115" i="1" a="1"/>
  <c r="N115" i="1" s="1"/>
  <c r="R115" i="1"/>
  <c r="B67" i="1"/>
  <c r="C67" i="1"/>
  <c r="D67" i="1"/>
  <c r="F67" i="1"/>
  <c r="G67" i="1"/>
  <c r="H67" i="1"/>
  <c r="I67" i="1"/>
  <c r="J67" i="1"/>
  <c r="K67" i="1"/>
  <c r="L67" i="1" a="1"/>
  <c r="L67" i="1" s="1"/>
  <c r="M67" i="1" a="1"/>
  <c r="M67" i="1" s="1"/>
  <c r="Q67" i="1" s="1"/>
  <c r="N67" i="1" a="1"/>
  <c r="N67" i="1" s="1"/>
  <c r="R67" i="1"/>
  <c r="B117" i="1"/>
  <c r="C117" i="1"/>
  <c r="D117" i="1"/>
  <c r="F117" i="1"/>
  <c r="G117" i="1"/>
  <c r="H117" i="1"/>
  <c r="I117" i="1"/>
  <c r="J117" i="1"/>
  <c r="K117" i="1"/>
  <c r="L117" i="1" a="1"/>
  <c r="L117" i="1" s="1"/>
  <c r="M117" i="1" a="1"/>
  <c r="M117" i="1" s="1"/>
  <c r="Q117" i="1" s="1"/>
  <c r="N117" i="1" a="1"/>
  <c r="N117" i="1" s="1"/>
  <c r="R117" i="1"/>
  <c r="B118" i="1"/>
  <c r="C118" i="1"/>
  <c r="D118" i="1"/>
  <c r="F118" i="1"/>
  <c r="G118" i="1"/>
  <c r="H118" i="1"/>
  <c r="I118" i="1"/>
  <c r="J118" i="1"/>
  <c r="K118" i="1"/>
  <c r="L118" i="1" a="1"/>
  <c r="L118" i="1" s="1"/>
  <c r="M118" i="1" a="1"/>
  <c r="M118" i="1" s="1"/>
  <c r="Q118" i="1" s="1"/>
  <c r="N118" i="1" a="1"/>
  <c r="N118" i="1" s="1"/>
  <c r="R118" i="1"/>
  <c r="F225" i="6"/>
  <c r="O119" i="1" s="1" a="1"/>
  <c r="O119" i="1" s="1"/>
  <c r="H225" i="6" a="1"/>
  <c r="H225" i="6" s="1"/>
  <c r="F224" i="6"/>
  <c r="H224" i="6" a="1"/>
  <c r="H224" i="6" s="1"/>
  <c r="F223" i="6"/>
  <c r="O118" i="1" s="1" a="1"/>
  <c r="O118" i="1" s="1"/>
  <c r="H223" i="6" a="1"/>
  <c r="H223" i="6" s="1"/>
  <c r="F222" i="6"/>
  <c r="H222" i="6" a="1"/>
  <c r="H222" i="6" s="1"/>
  <c r="F221" i="6"/>
  <c r="O117" i="1" s="1" a="1"/>
  <c r="O117" i="1" s="1"/>
  <c r="H221" i="6" a="1"/>
  <c r="H221" i="6" s="1"/>
  <c r="F220" i="6"/>
  <c r="H220" i="6" a="1"/>
  <c r="H220" i="6" s="1"/>
  <c r="F219" i="6"/>
  <c r="O67" i="1" s="1" a="1"/>
  <c r="O67" i="1" s="1"/>
  <c r="H219" i="6" a="1"/>
  <c r="H219" i="6" s="1"/>
  <c r="F218" i="6"/>
  <c r="H218" i="6" a="1"/>
  <c r="H218" i="6" s="1"/>
  <c r="F217" i="6"/>
  <c r="O115" i="1" s="1" a="1"/>
  <c r="O115" i="1" s="1"/>
  <c r="H217" i="6" a="1"/>
  <c r="H217" i="6" s="1"/>
  <c r="F216" i="6"/>
  <c r="H216" i="6" a="1"/>
  <c r="H216" i="6" s="1"/>
  <c r="F215" i="6"/>
  <c r="H215" i="6" a="1"/>
  <c r="H215" i="6" s="1"/>
  <c r="F214" i="6"/>
  <c r="O114" i="1" s="1" a="1"/>
  <c r="O114" i="1" s="1"/>
  <c r="H214" i="6" a="1"/>
  <c r="H214" i="6" s="1"/>
  <c r="F213" i="6"/>
  <c r="H213" i="6" a="1"/>
  <c r="H213" i="6" s="1"/>
  <c r="F212" i="6"/>
  <c r="O113" i="1" s="1" a="1"/>
  <c r="O113" i="1" s="1"/>
  <c r="H212" i="6" a="1"/>
  <c r="H212" i="6" s="1"/>
  <c r="F211" i="6"/>
  <c r="H211" i="6" a="1"/>
  <c r="H211" i="6" s="1"/>
  <c r="F210" i="6"/>
  <c r="O112" i="1" s="1" a="1"/>
  <c r="O112" i="1" s="1"/>
  <c r="H210" i="6" a="1"/>
  <c r="H210" i="6" s="1"/>
  <c r="F209" i="6"/>
  <c r="H209" i="6" a="1"/>
  <c r="H209" i="6" s="1"/>
  <c r="F208" i="6"/>
  <c r="O111" i="1" s="1" a="1"/>
  <c r="O111" i="1" s="1"/>
  <c r="H208" i="6" a="1"/>
  <c r="H208" i="6" s="1"/>
  <c r="F207" i="6"/>
  <c r="H207" i="6" a="1"/>
  <c r="H207" i="6" s="1"/>
  <c r="F206" i="6"/>
  <c r="O116" i="1" s="1" a="1"/>
  <c r="O116" i="1" s="1"/>
  <c r="H206" i="6" a="1"/>
  <c r="H206" i="6" s="1"/>
  <c r="F205" i="6"/>
  <c r="H205" i="6" a="1"/>
  <c r="H205" i="6" s="1"/>
  <c r="F204" i="6"/>
  <c r="O50" i="1" s="1" a="1"/>
  <c r="O50" i="1" s="1"/>
  <c r="H204" i="6" a="1"/>
  <c r="H204" i="6" s="1"/>
  <c r="F203" i="6"/>
  <c r="H203" i="6" a="1"/>
  <c r="H203" i="6" s="1"/>
  <c r="F202" i="6"/>
  <c r="O22" i="1" s="1" a="1"/>
  <c r="O22" i="1" s="1"/>
  <c r="H202" i="6" a="1"/>
  <c r="H202" i="6" s="1"/>
  <c r="F201" i="6"/>
  <c r="H201" i="6" a="1"/>
  <c r="H201" i="6" s="1"/>
  <c r="F200" i="6"/>
  <c r="O107" i="1" s="1" a="1"/>
  <c r="O107" i="1" s="1"/>
  <c r="H200" i="6" a="1"/>
  <c r="H200" i="6" s="1"/>
  <c r="F199" i="6"/>
  <c r="H199" i="6" a="1"/>
  <c r="H199" i="6" s="1"/>
  <c r="F198" i="6"/>
  <c r="O106" i="1" s="1" a="1"/>
  <c r="O106" i="1" s="1"/>
  <c r="H198" i="6" a="1"/>
  <c r="H198" i="6" s="1"/>
  <c r="F197" i="6"/>
  <c r="H197" i="6" a="1"/>
  <c r="H197" i="6" s="1"/>
  <c r="B98" i="1"/>
  <c r="C98" i="1"/>
  <c r="D98" i="1"/>
  <c r="F98" i="1"/>
  <c r="G98" i="1"/>
  <c r="H98" i="1"/>
  <c r="I98" i="1"/>
  <c r="J98" i="1"/>
  <c r="K98" i="1"/>
  <c r="L98" i="1" a="1"/>
  <c r="L98" i="1" s="1"/>
  <c r="M98" i="1" a="1"/>
  <c r="M98" i="1" s="1"/>
  <c r="Q98" i="1" s="1"/>
  <c r="N98" i="1" a="1"/>
  <c r="N98" i="1" s="1"/>
  <c r="R98" i="1"/>
  <c r="B100" i="1"/>
  <c r="C100" i="1"/>
  <c r="D100" i="1"/>
  <c r="F100" i="1"/>
  <c r="G100" i="1"/>
  <c r="H100" i="1"/>
  <c r="I100" i="1"/>
  <c r="K100" i="1"/>
  <c r="L100" i="1" a="1"/>
  <c r="L100" i="1" s="1"/>
  <c r="M100" i="1" a="1"/>
  <c r="M100" i="1" s="1"/>
  <c r="Q100" i="1" s="1"/>
  <c r="N100" i="1" a="1"/>
  <c r="N100" i="1" s="1"/>
  <c r="F196" i="6"/>
  <c r="O105" i="1" s="1" a="1"/>
  <c r="O105" i="1" s="1"/>
  <c r="H196" i="6" a="1"/>
  <c r="H196" i="6" s="1"/>
  <c r="F195" i="6"/>
  <c r="H195" i="6" a="1"/>
  <c r="H195" i="6" s="1"/>
  <c r="F194" i="6"/>
  <c r="O104" i="1" s="1" a="1"/>
  <c r="O104" i="1" s="1"/>
  <c r="H194" i="6" a="1"/>
  <c r="H194" i="6" s="1"/>
  <c r="H193" i="6" a="1"/>
  <c r="H193" i="6" s="1"/>
  <c r="F189" i="6"/>
  <c r="O100" i="1" s="1" a="1"/>
  <c r="O100" i="1" s="1"/>
  <c r="H189" i="6" a="1"/>
  <c r="H189" i="6" s="1"/>
  <c r="F188" i="6"/>
  <c r="H188" i="6" a="1"/>
  <c r="H188" i="6" s="1"/>
  <c r="F187" i="6"/>
  <c r="O99" i="1" s="1" a="1"/>
  <c r="O99" i="1" s="1"/>
  <c r="H187" i="6" a="1"/>
  <c r="H187" i="6" s="1"/>
  <c r="F186" i="6"/>
  <c r="O98" i="1" s="1" a="1"/>
  <c r="O98" i="1" s="1"/>
  <c r="H186" i="6" a="1"/>
  <c r="H186" i="6" s="1"/>
  <c r="F185" i="6"/>
  <c r="H185" i="6" a="1"/>
  <c r="H185" i="6" s="1"/>
  <c r="B130" i="1"/>
  <c r="C130" i="1"/>
  <c r="D130" i="1"/>
  <c r="F130" i="1"/>
  <c r="G130" i="1"/>
  <c r="H130" i="1"/>
  <c r="I130" i="1"/>
  <c r="J130" i="1"/>
  <c r="K130" i="1"/>
  <c r="L130" i="1" a="1"/>
  <c r="L130" i="1" s="1"/>
  <c r="M130" i="1" a="1"/>
  <c r="M130" i="1" s="1"/>
  <c r="Q130" i="1" s="1"/>
  <c r="N130" i="1" a="1"/>
  <c r="N130" i="1" s="1"/>
  <c r="R130" i="1"/>
  <c r="F182" i="6"/>
  <c r="O145" i="1" s="1" a="1"/>
  <c r="O145" i="1" s="1"/>
  <c r="H182" i="6" a="1"/>
  <c r="H182" i="6" s="1"/>
  <c r="F181" i="6"/>
  <c r="H181" i="6" a="1"/>
  <c r="H181" i="6" s="1"/>
  <c r="F180" i="6"/>
  <c r="O130" i="1" s="1" a="1"/>
  <c r="O130" i="1" s="1"/>
  <c r="H180" i="6" a="1"/>
  <c r="H180" i="6" s="1"/>
  <c r="F179" i="6"/>
  <c r="H179" i="6" a="1"/>
  <c r="H179" i="6" s="1"/>
  <c r="B93" i="1"/>
  <c r="C93" i="1"/>
  <c r="D93" i="1"/>
  <c r="F93" i="1"/>
  <c r="G93" i="1"/>
  <c r="H93" i="1"/>
  <c r="I93" i="1"/>
  <c r="J93" i="1"/>
  <c r="K93" i="1"/>
  <c r="L93" i="1" a="1"/>
  <c r="L93" i="1" s="1"/>
  <c r="M93" i="1" a="1"/>
  <c r="M93" i="1" s="1"/>
  <c r="Q93" i="1" s="1"/>
  <c r="N93" i="1" a="1"/>
  <c r="N93" i="1" s="1"/>
  <c r="R93" i="1"/>
  <c r="F178" i="6"/>
  <c r="O93" i="1" s="1" a="1"/>
  <c r="O93" i="1" s="1"/>
  <c r="H178" i="6" a="1"/>
  <c r="H178" i="6" s="1"/>
  <c r="F177" i="6"/>
  <c r="H177" i="6" a="1"/>
  <c r="H177" i="6" s="1"/>
  <c r="B84" i="1"/>
  <c r="C84" i="1"/>
  <c r="D84" i="1"/>
  <c r="F84" i="1"/>
  <c r="G84" i="1"/>
  <c r="H84" i="1"/>
  <c r="I84" i="1"/>
  <c r="J84" i="1"/>
  <c r="K84" i="1"/>
  <c r="L84" i="1" a="1"/>
  <c r="L84" i="1" s="1"/>
  <c r="M84" i="1" a="1"/>
  <c r="M84" i="1" s="1"/>
  <c r="Q84" i="1" s="1"/>
  <c r="N84" i="1" a="1"/>
  <c r="N84" i="1" s="1"/>
  <c r="R84" i="1"/>
  <c r="B85" i="1"/>
  <c r="C85" i="1"/>
  <c r="D85" i="1"/>
  <c r="F85" i="1"/>
  <c r="G85" i="1"/>
  <c r="H85" i="1"/>
  <c r="I85" i="1"/>
  <c r="J85" i="1"/>
  <c r="K85" i="1"/>
  <c r="L85" i="1" a="1"/>
  <c r="L85" i="1" s="1"/>
  <c r="M85" i="1" a="1"/>
  <c r="M85" i="1" s="1"/>
  <c r="Q85" i="1" s="1"/>
  <c r="N85" i="1" a="1"/>
  <c r="N85" i="1" s="1"/>
  <c r="R85" i="1"/>
  <c r="B86" i="1"/>
  <c r="C86" i="1"/>
  <c r="D86" i="1"/>
  <c r="F86" i="1"/>
  <c r="G86" i="1"/>
  <c r="H86" i="1"/>
  <c r="I86" i="1"/>
  <c r="J86" i="1"/>
  <c r="K86" i="1"/>
  <c r="L86" i="1" a="1"/>
  <c r="L86" i="1" s="1"/>
  <c r="M86" i="1" a="1"/>
  <c r="M86" i="1" s="1"/>
  <c r="Q86" i="1" s="1"/>
  <c r="N86" i="1" a="1"/>
  <c r="N86" i="1" s="1"/>
  <c r="R86" i="1"/>
  <c r="B87" i="1"/>
  <c r="C87" i="1"/>
  <c r="D87" i="1"/>
  <c r="F87" i="1"/>
  <c r="G87" i="1"/>
  <c r="H87" i="1"/>
  <c r="I87" i="1"/>
  <c r="J87" i="1"/>
  <c r="K87" i="1"/>
  <c r="L87" i="1" a="1"/>
  <c r="L87" i="1" s="1"/>
  <c r="M87" i="1" a="1"/>
  <c r="M87" i="1" s="1"/>
  <c r="Q87" i="1" s="1"/>
  <c r="N87" i="1" a="1"/>
  <c r="N87" i="1" s="1"/>
  <c r="R87" i="1"/>
  <c r="B88" i="1"/>
  <c r="C88" i="1"/>
  <c r="D88" i="1"/>
  <c r="F88" i="1"/>
  <c r="G88" i="1"/>
  <c r="H88" i="1"/>
  <c r="I88" i="1"/>
  <c r="J88" i="1"/>
  <c r="K88" i="1"/>
  <c r="L88" i="1" a="1"/>
  <c r="L88" i="1" s="1"/>
  <c r="M88" i="1" a="1"/>
  <c r="M88" i="1" s="1"/>
  <c r="Q88" i="1" s="1"/>
  <c r="N88" i="1" a="1"/>
  <c r="N88" i="1" s="1"/>
  <c r="R88" i="1"/>
  <c r="B89" i="1"/>
  <c r="C89" i="1"/>
  <c r="D89" i="1"/>
  <c r="F89" i="1"/>
  <c r="G89" i="1"/>
  <c r="H89" i="1"/>
  <c r="I89" i="1"/>
  <c r="J89" i="1"/>
  <c r="K89" i="1"/>
  <c r="L89" i="1" a="1"/>
  <c r="L89" i="1" s="1"/>
  <c r="M89" i="1" a="1"/>
  <c r="M89" i="1" s="1"/>
  <c r="Q89" i="1" s="1"/>
  <c r="N89" i="1" a="1"/>
  <c r="N89" i="1" s="1"/>
  <c r="R89" i="1"/>
  <c r="B90" i="1"/>
  <c r="C90" i="1"/>
  <c r="D90" i="1"/>
  <c r="F90" i="1"/>
  <c r="G90" i="1"/>
  <c r="H90" i="1"/>
  <c r="I90" i="1"/>
  <c r="J90" i="1"/>
  <c r="K90" i="1"/>
  <c r="L90" i="1" a="1"/>
  <c r="L90" i="1" s="1"/>
  <c r="M90" i="1" a="1"/>
  <c r="M90" i="1" s="1"/>
  <c r="Q90" i="1" s="1"/>
  <c r="N90" i="1" a="1"/>
  <c r="N90" i="1" s="1"/>
  <c r="R90" i="1"/>
  <c r="B91" i="1"/>
  <c r="C91" i="1"/>
  <c r="D91" i="1"/>
  <c r="F91" i="1"/>
  <c r="G91" i="1"/>
  <c r="H91" i="1"/>
  <c r="I91" i="1"/>
  <c r="J91" i="1"/>
  <c r="K91" i="1"/>
  <c r="L91" i="1" a="1"/>
  <c r="L91" i="1" s="1"/>
  <c r="M91" i="1" a="1"/>
  <c r="M91" i="1" s="1"/>
  <c r="Q91" i="1" s="1"/>
  <c r="N91" i="1" a="1"/>
  <c r="N91" i="1" s="1"/>
  <c r="R91" i="1"/>
  <c r="F176" i="6"/>
  <c r="O92" i="1" s="1" a="1"/>
  <c r="O92" i="1" s="1"/>
  <c r="H176" i="6" a="1"/>
  <c r="H176" i="6" s="1"/>
  <c r="F175" i="6"/>
  <c r="H175" i="6" a="1"/>
  <c r="H175" i="6" s="1"/>
  <c r="F174" i="6"/>
  <c r="O91" i="1" s="1" a="1"/>
  <c r="O91" i="1" s="1"/>
  <c r="H174" i="6" a="1"/>
  <c r="H174" i="6" s="1"/>
  <c r="F173" i="6"/>
  <c r="H173" i="6" a="1"/>
  <c r="H173" i="6" s="1"/>
  <c r="F172" i="6"/>
  <c r="O90" i="1" s="1" a="1"/>
  <c r="O90" i="1" s="1"/>
  <c r="H172" i="6" a="1"/>
  <c r="H172" i="6" s="1"/>
  <c r="F171" i="6"/>
  <c r="H171" i="6" a="1"/>
  <c r="H171" i="6" s="1"/>
  <c r="F170" i="6"/>
  <c r="O89" i="1" s="1" a="1"/>
  <c r="O89" i="1" s="1"/>
  <c r="H170" i="6" a="1"/>
  <c r="H170" i="6" s="1"/>
  <c r="F169" i="6"/>
  <c r="H169" i="6" a="1"/>
  <c r="H169" i="6" s="1"/>
  <c r="F168" i="6"/>
  <c r="O88" i="1" s="1" a="1"/>
  <c r="O88" i="1" s="1"/>
  <c r="H168" i="6" a="1"/>
  <c r="H168" i="6" s="1"/>
  <c r="F167" i="6"/>
  <c r="H167" i="6" a="1"/>
  <c r="H167" i="6" s="1"/>
  <c r="F166" i="6"/>
  <c r="O87" i="1" s="1" a="1"/>
  <c r="O87" i="1" s="1"/>
  <c r="H166" i="6" a="1"/>
  <c r="H166" i="6" s="1"/>
  <c r="F165" i="6"/>
  <c r="H165" i="6" a="1"/>
  <c r="H165" i="6" s="1"/>
  <c r="F164" i="6"/>
  <c r="O86" i="1" s="1" a="1"/>
  <c r="O86" i="1" s="1"/>
  <c r="H164" i="6" a="1"/>
  <c r="H164" i="6" s="1"/>
  <c r="F163" i="6"/>
  <c r="H163" i="6" a="1"/>
  <c r="H163" i="6" s="1"/>
  <c r="F162" i="6"/>
  <c r="O85" i="1" s="1" a="1"/>
  <c r="O85" i="1" s="1"/>
  <c r="H162" i="6" a="1"/>
  <c r="H162" i="6" s="1"/>
  <c r="F161" i="6"/>
  <c r="H161" i="6" a="1"/>
  <c r="H161" i="6" s="1"/>
  <c r="F160" i="6"/>
  <c r="O84" i="1" s="1" a="1"/>
  <c r="O84" i="1" s="1"/>
  <c r="H160" i="6" a="1"/>
  <c r="H160" i="6" s="1"/>
  <c r="F159" i="6"/>
  <c r="H159" i="6" a="1"/>
  <c r="H159" i="6" s="1"/>
  <c r="F158" i="6"/>
  <c r="O83" i="1" s="1" a="1"/>
  <c r="O83" i="1" s="1"/>
  <c r="H158" i="6" a="1"/>
  <c r="H158" i="6" s="1"/>
  <c r="F157" i="6"/>
  <c r="O82" i="1" s="1" a="1"/>
  <c r="O82" i="1" s="1"/>
  <c r="H157" i="6" a="1"/>
  <c r="H157" i="6" s="1"/>
  <c r="F156" i="6"/>
  <c r="H156" i="6" a="1"/>
  <c r="H156" i="6" s="1"/>
  <c r="B80" i="1"/>
  <c r="C80" i="1"/>
  <c r="D80" i="1"/>
  <c r="F80" i="1"/>
  <c r="G80" i="1"/>
  <c r="H80" i="1"/>
  <c r="I80" i="1"/>
  <c r="J80" i="1"/>
  <c r="K80" i="1"/>
  <c r="L80" i="1" a="1"/>
  <c r="L80" i="1" s="1"/>
  <c r="M80" i="1" a="1"/>
  <c r="M80" i="1" s="1"/>
  <c r="Q80" i="1" s="1"/>
  <c r="N80" i="1" a="1"/>
  <c r="N80" i="1" s="1"/>
  <c r="R80" i="1"/>
  <c r="B79" i="1"/>
  <c r="C79" i="1"/>
  <c r="D79" i="1"/>
  <c r="F79" i="1"/>
  <c r="G79" i="1"/>
  <c r="H79" i="1"/>
  <c r="I79" i="1"/>
  <c r="J79" i="1"/>
  <c r="K79" i="1"/>
  <c r="L79" i="1" a="1"/>
  <c r="L79" i="1" s="1"/>
  <c r="M79" i="1" a="1"/>
  <c r="M79" i="1" s="1"/>
  <c r="Q79" i="1" s="1"/>
  <c r="N79" i="1" a="1"/>
  <c r="N79" i="1" s="1"/>
  <c r="R79" i="1"/>
  <c r="B43" i="1"/>
  <c r="C43" i="1"/>
  <c r="D43" i="1"/>
  <c r="F43" i="1"/>
  <c r="G43" i="1"/>
  <c r="H43" i="1"/>
  <c r="I43" i="1"/>
  <c r="J43" i="1"/>
  <c r="K43" i="1"/>
  <c r="L43" i="1" a="1"/>
  <c r="L43" i="1" s="1"/>
  <c r="M43" i="1" a="1"/>
  <c r="M43" i="1" s="1"/>
  <c r="Q43" i="1" s="1"/>
  <c r="N43" i="1" a="1"/>
  <c r="N43" i="1" s="1"/>
  <c r="R43" i="1"/>
  <c r="B44" i="1"/>
  <c r="C44" i="1"/>
  <c r="D44" i="1"/>
  <c r="F44" i="1"/>
  <c r="G44" i="1"/>
  <c r="H44" i="1"/>
  <c r="I44" i="1"/>
  <c r="J44" i="1"/>
  <c r="K44" i="1"/>
  <c r="L44" i="1" a="1"/>
  <c r="L44" i="1" s="1"/>
  <c r="M44" i="1" a="1"/>
  <c r="M44" i="1" s="1"/>
  <c r="Q44" i="1" s="1"/>
  <c r="N44" i="1" a="1"/>
  <c r="N44" i="1" s="1"/>
  <c r="R44" i="1"/>
  <c r="B45" i="1"/>
  <c r="C45" i="1"/>
  <c r="D45" i="1"/>
  <c r="F45" i="1"/>
  <c r="G45" i="1"/>
  <c r="H45" i="1"/>
  <c r="I45" i="1"/>
  <c r="J45" i="1"/>
  <c r="K45" i="1"/>
  <c r="L45" i="1" a="1"/>
  <c r="L45" i="1" s="1"/>
  <c r="M45" i="1" a="1"/>
  <c r="M45" i="1" s="1"/>
  <c r="Q45" i="1" s="1"/>
  <c r="N45" i="1" a="1"/>
  <c r="N45" i="1" s="1"/>
  <c r="R45" i="1"/>
  <c r="B46" i="1"/>
  <c r="C46" i="1"/>
  <c r="D46" i="1"/>
  <c r="F46" i="1"/>
  <c r="G46" i="1"/>
  <c r="H46" i="1"/>
  <c r="I46" i="1"/>
  <c r="J46" i="1"/>
  <c r="K46" i="1"/>
  <c r="L46" i="1" a="1"/>
  <c r="L46" i="1" s="1"/>
  <c r="M46" i="1" a="1"/>
  <c r="M46" i="1" s="1"/>
  <c r="Q46" i="1" s="1"/>
  <c r="N46" i="1" a="1"/>
  <c r="N46" i="1" s="1"/>
  <c r="R46" i="1"/>
  <c r="B77" i="1"/>
  <c r="C77" i="1"/>
  <c r="D77" i="1"/>
  <c r="F77" i="1"/>
  <c r="G77" i="1"/>
  <c r="H77" i="1"/>
  <c r="I77" i="1"/>
  <c r="J77" i="1"/>
  <c r="K77" i="1"/>
  <c r="L77" i="1" a="1"/>
  <c r="L77" i="1" s="1"/>
  <c r="M77" i="1" a="1"/>
  <c r="M77" i="1" s="1"/>
  <c r="Q77" i="1" s="1"/>
  <c r="N77" i="1" a="1"/>
  <c r="N77" i="1" s="1"/>
  <c r="R77" i="1"/>
  <c r="B60" i="1"/>
  <c r="C60" i="1"/>
  <c r="D60" i="1"/>
  <c r="F60" i="1"/>
  <c r="G60" i="1"/>
  <c r="H60" i="1"/>
  <c r="I60" i="1"/>
  <c r="J60" i="1"/>
  <c r="K60" i="1"/>
  <c r="L60" i="1" a="1"/>
  <c r="L60" i="1" s="1"/>
  <c r="M60" i="1" a="1"/>
  <c r="M60" i="1" s="1"/>
  <c r="Q60" i="1" s="1"/>
  <c r="N60" i="1" a="1"/>
  <c r="N60" i="1" s="1"/>
  <c r="R60" i="1"/>
  <c r="B61" i="1"/>
  <c r="C61" i="1"/>
  <c r="D61" i="1"/>
  <c r="F61" i="1"/>
  <c r="G61" i="1"/>
  <c r="H61" i="1"/>
  <c r="I61" i="1"/>
  <c r="J61" i="1"/>
  <c r="K61" i="1"/>
  <c r="L61" i="1" a="1"/>
  <c r="L61" i="1" s="1"/>
  <c r="M61" i="1" a="1"/>
  <c r="M61" i="1" s="1"/>
  <c r="Q61" i="1" s="1"/>
  <c r="N61" i="1" a="1"/>
  <c r="N61" i="1" s="1"/>
  <c r="R61" i="1"/>
  <c r="B62" i="1"/>
  <c r="C62" i="1"/>
  <c r="D62" i="1"/>
  <c r="F62" i="1"/>
  <c r="G62" i="1"/>
  <c r="H62" i="1"/>
  <c r="I62" i="1"/>
  <c r="J62" i="1"/>
  <c r="K62" i="1"/>
  <c r="L62" i="1" a="1"/>
  <c r="L62" i="1" s="1"/>
  <c r="M62" i="1" a="1"/>
  <c r="M62" i="1" s="1"/>
  <c r="Q62" i="1" s="1"/>
  <c r="N62" i="1" a="1"/>
  <c r="N62" i="1" s="1"/>
  <c r="R62" i="1"/>
  <c r="B63" i="1"/>
  <c r="C63" i="1"/>
  <c r="D63" i="1"/>
  <c r="F63" i="1"/>
  <c r="G63" i="1"/>
  <c r="H63" i="1"/>
  <c r="I63" i="1"/>
  <c r="J63" i="1"/>
  <c r="K63" i="1"/>
  <c r="L63" i="1" a="1"/>
  <c r="L63" i="1" s="1"/>
  <c r="M63" i="1" a="1"/>
  <c r="M63" i="1" s="1"/>
  <c r="Q63" i="1" s="1"/>
  <c r="N63" i="1" a="1"/>
  <c r="N63" i="1" s="1"/>
  <c r="R63" i="1"/>
  <c r="B47" i="1"/>
  <c r="C47" i="1"/>
  <c r="D47" i="1"/>
  <c r="F47" i="1"/>
  <c r="G47" i="1"/>
  <c r="H47" i="1"/>
  <c r="I47" i="1"/>
  <c r="J47" i="1"/>
  <c r="K47" i="1"/>
  <c r="L47" i="1" a="1"/>
  <c r="L47" i="1" s="1"/>
  <c r="M47" i="1" a="1"/>
  <c r="M47" i="1" s="1"/>
  <c r="Q47" i="1" s="1"/>
  <c r="N47" i="1" a="1"/>
  <c r="N47" i="1" s="1"/>
  <c r="R47" i="1"/>
  <c r="B48" i="1"/>
  <c r="C48" i="1"/>
  <c r="D48" i="1"/>
  <c r="F48" i="1"/>
  <c r="G48" i="1"/>
  <c r="H48" i="1"/>
  <c r="I48" i="1"/>
  <c r="J48" i="1"/>
  <c r="K48" i="1"/>
  <c r="L48" i="1" a="1"/>
  <c r="L48" i="1" s="1"/>
  <c r="M48" i="1" a="1"/>
  <c r="M48" i="1" s="1"/>
  <c r="Q48" i="1" s="1"/>
  <c r="N48" i="1" a="1"/>
  <c r="N48" i="1" s="1"/>
  <c r="R48" i="1"/>
  <c r="B95" i="1"/>
  <c r="C95" i="1"/>
  <c r="D95" i="1"/>
  <c r="F95" i="1"/>
  <c r="G95" i="1"/>
  <c r="H95" i="1"/>
  <c r="I95" i="1"/>
  <c r="J95" i="1"/>
  <c r="K95" i="1"/>
  <c r="L95" i="1" a="1"/>
  <c r="L95" i="1" s="1"/>
  <c r="M95" i="1" a="1"/>
  <c r="M95" i="1" s="1"/>
  <c r="Q95" i="1" s="1"/>
  <c r="N95" i="1" a="1"/>
  <c r="N95" i="1" s="1"/>
  <c r="R95" i="1"/>
  <c r="B72" i="1"/>
  <c r="C72" i="1"/>
  <c r="D72" i="1"/>
  <c r="F72" i="1"/>
  <c r="G72" i="1"/>
  <c r="H72" i="1"/>
  <c r="I72" i="1"/>
  <c r="J72" i="1"/>
  <c r="K72" i="1"/>
  <c r="L72" i="1" a="1"/>
  <c r="L72" i="1" s="1"/>
  <c r="M72" i="1" a="1"/>
  <c r="M72" i="1" s="1"/>
  <c r="Q72" i="1" s="1"/>
  <c r="N72" i="1" a="1"/>
  <c r="N72" i="1" s="1"/>
  <c r="R72" i="1"/>
  <c r="F155" i="6"/>
  <c r="O81" i="1" s="1" a="1"/>
  <c r="O81" i="1" s="1"/>
  <c r="H155" i="6" a="1"/>
  <c r="H155" i="6" s="1"/>
  <c r="F154" i="6"/>
  <c r="H154" i="6" a="1"/>
  <c r="H154" i="6" s="1"/>
  <c r="F153" i="6"/>
  <c r="O80" i="1" s="1" a="1"/>
  <c r="O80" i="1" s="1"/>
  <c r="H153" i="6" a="1"/>
  <c r="H153" i="6" s="1"/>
  <c r="F152" i="6"/>
  <c r="H152" i="6" a="1"/>
  <c r="H152" i="6" s="1"/>
  <c r="F151" i="6"/>
  <c r="O79" i="1" s="1" a="1"/>
  <c r="O79" i="1" s="1"/>
  <c r="H151" i="6" a="1"/>
  <c r="H151" i="6" s="1"/>
  <c r="F150" i="6"/>
  <c r="H150" i="6" a="1"/>
  <c r="H150" i="6" s="1"/>
  <c r="F149" i="6"/>
  <c r="O78" i="1" s="1" a="1"/>
  <c r="O78" i="1" s="1"/>
  <c r="H149" i="6" a="1"/>
  <c r="H149" i="6" s="1"/>
  <c r="F148" i="6"/>
  <c r="H148" i="6" a="1"/>
  <c r="H148" i="6" s="1"/>
  <c r="F147" i="6"/>
  <c r="O110" i="1" s="1" a="1"/>
  <c r="O110" i="1" s="1"/>
  <c r="H147" i="6" a="1"/>
  <c r="H147" i="6" s="1"/>
  <c r="F146" i="6"/>
  <c r="H146" i="6" a="1"/>
  <c r="H146" i="6" s="1"/>
  <c r="F145" i="6"/>
  <c r="O109" i="1" s="1" a="1"/>
  <c r="O109" i="1" s="1"/>
  <c r="H145" i="6" a="1"/>
  <c r="H145" i="6" s="1"/>
  <c r="F144" i="6"/>
  <c r="H144" i="6" a="1"/>
  <c r="H144" i="6" s="1"/>
  <c r="F143" i="6"/>
  <c r="O75" i="1" s="1" a="1"/>
  <c r="O75" i="1" s="1"/>
  <c r="H143" i="6" a="1"/>
  <c r="H143" i="6" s="1"/>
  <c r="F142" i="6"/>
  <c r="H142" i="6" a="1"/>
  <c r="H142" i="6" s="1"/>
  <c r="F141" i="6"/>
  <c r="O74" i="1" s="1" a="1"/>
  <c r="O74" i="1" s="1"/>
  <c r="H141" i="6" a="1"/>
  <c r="H141" i="6" s="1"/>
  <c r="F140" i="6"/>
  <c r="H140" i="6" a="1"/>
  <c r="H140" i="6" s="1"/>
  <c r="F139" i="6"/>
  <c r="O73" i="1" s="1" a="1"/>
  <c r="O73" i="1" s="1"/>
  <c r="H139" i="6" a="1"/>
  <c r="H139" i="6" s="1"/>
  <c r="F138" i="6"/>
  <c r="H138" i="6" a="1"/>
  <c r="H138" i="6" s="1"/>
  <c r="F137" i="6"/>
  <c r="O72" i="1" s="1" a="1"/>
  <c r="O72" i="1" s="1"/>
  <c r="H137" i="6" a="1"/>
  <c r="H137" i="6" s="1"/>
  <c r="F136" i="6"/>
  <c r="H136" i="6" a="1"/>
  <c r="H136" i="6" s="1"/>
  <c r="F135" i="6"/>
  <c r="O71" i="1" s="1" a="1"/>
  <c r="O71" i="1" s="1"/>
  <c r="H135" i="6" a="1"/>
  <c r="H135" i="6" s="1"/>
  <c r="F134" i="6"/>
  <c r="H134" i="6" a="1"/>
  <c r="H134" i="6" s="1"/>
  <c r="F133" i="6"/>
  <c r="O95" i="1" s="1" a="1"/>
  <c r="O95" i="1" s="1"/>
  <c r="H133" i="6" a="1"/>
  <c r="H133" i="6" s="1"/>
  <c r="F132" i="6"/>
  <c r="H132" i="6" a="1"/>
  <c r="H132" i="6" s="1"/>
  <c r="F131" i="6"/>
  <c r="O94" i="1" s="1" a="1"/>
  <c r="O94" i="1" s="1"/>
  <c r="H131" i="6" a="1"/>
  <c r="H131" i="6" s="1"/>
  <c r="F130" i="6"/>
  <c r="H130" i="6" a="1"/>
  <c r="H130" i="6" s="1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65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A221" i="7"/>
  <c r="A222" i="7"/>
  <c r="A223" i="7"/>
  <c r="A224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64" i="7"/>
  <c r="B241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F129" i="6"/>
  <c r="O48" i="1" s="1" a="1"/>
  <c r="O48" i="1" s="1"/>
  <c r="H129" i="6" a="1"/>
  <c r="H129" i="6" s="1"/>
  <c r="F128" i="6"/>
  <c r="H128" i="6" a="1"/>
  <c r="H128" i="6" s="1"/>
  <c r="F127" i="6"/>
  <c r="O47" i="1" s="1" a="1"/>
  <c r="O47" i="1" s="1"/>
  <c r="H127" i="6" a="1"/>
  <c r="H127" i="6" s="1"/>
  <c r="F126" i="6"/>
  <c r="H126" i="6" a="1"/>
  <c r="H126" i="6" s="1"/>
  <c r="F125" i="6"/>
  <c r="O129" i="1" s="1" a="1"/>
  <c r="O129" i="1" s="1"/>
  <c r="H125" i="6" a="1"/>
  <c r="H125" i="6" s="1"/>
  <c r="F124" i="6"/>
  <c r="H124" i="6" a="1"/>
  <c r="H124" i="6" s="1"/>
  <c r="F123" i="6"/>
  <c r="O65" i="1" s="1" a="1"/>
  <c r="O65" i="1" s="1"/>
  <c r="H123" i="6" a="1"/>
  <c r="H123" i="6" s="1"/>
  <c r="F122" i="6"/>
  <c r="H122" i="6" a="1"/>
  <c r="H122" i="6" s="1"/>
  <c r="F121" i="6"/>
  <c r="O64" i="1" s="1" a="1"/>
  <c r="O64" i="1" s="1"/>
  <c r="H121" i="6" a="1"/>
  <c r="H121" i="6" s="1"/>
  <c r="F120" i="6"/>
  <c r="H120" i="6" a="1"/>
  <c r="H120" i="6" s="1"/>
  <c r="F119" i="6"/>
  <c r="O63" i="1" s="1" a="1"/>
  <c r="O63" i="1" s="1"/>
  <c r="H119" i="6" a="1"/>
  <c r="H119" i="6" s="1"/>
  <c r="F118" i="6"/>
  <c r="H118" i="6" a="1"/>
  <c r="H118" i="6" s="1"/>
  <c r="F117" i="6"/>
  <c r="O62" i="1" s="1" a="1"/>
  <c r="O62" i="1" s="1"/>
  <c r="H117" i="6" a="1"/>
  <c r="H117" i="6" s="1"/>
  <c r="F116" i="6"/>
  <c r="H116" i="6" a="1"/>
  <c r="H116" i="6" s="1"/>
  <c r="F115" i="6"/>
  <c r="O61" i="1" s="1" a="1"/>
  <c r="O61" i="1" s="1"/>
  <c r="H115" i="6" a="1"/>
  <c r="H115" i="6" s="1"/>
  <c r="F114" i="6"/>
  <c r="H114" i="6" a="1"/>
  <c r="H114" i="6" s="1"/>
  <c r="F113" i="6"/>
  <c r="O60" i="1" s="1" a="1"/>
  <c r="O60" i="1" s="1"/>
  <c r="H113" i="6" a="1"/>
  <c r="H113" i="6" s="1"/>
  <c r="F112" i="6"/>
  <c r="H112" i="6" a="1"/>
  <c r="H112" i="6" s="1"/>
  <c r="F111" i="6"/>
  <c r="O59" i="1" s="1" a="1"/>
  <c r="O59" i="1" s="1"/>
  <c r="H111" i="6" a="1"/>
  <c r="H111" i="6" s="1"/>
  <c r="F110" i="6"/>
  <c r="H110" i="6" a="1"/>
  <c r="H110" i="6" s="1"/>
  <c r="F109" i="6"/>
  <c r="O58" i="1" s="1" a="1"/>
  <c r="O58" i="1" s="1"/>
  <c r="H109" i="6" a="1"/>
  <c r="H109" i="6" s="1"/>
  <c r="H108" i="6" a="1"/>
  <c r="H108" i="6" s="1"/>
  <c r="H107" i="6" a="1"/>
  <c r="H107" i="6" s="1"/>
  <c r="F106" i="6"/>
  <c r="O57" i="1" s="1" a="1"/>
  <c r="O57" i="1" s="1"/>
  <c r="H106" i="6" a="1"/>
  <c r="H106" i="6" s="1"/>
  <c r="F105" i="6"/>
  <c r="O56" i="1" s="1" a="1"/>
  <c r="O56" i="1" s="1"/>
  <c r="H105" i="6" a="1"/>
  <c r="H105" i="6" s="1"/>
  <c r="F104" i="6"/>
  <c r="O159" i="1" s="1" a="1"/>
  <c r="O159" i="1" s="1"/>
  <c r="H104" i="6" a="1"/>
  <c r="H104" i="6" s="1"/>
  <c r="F101" i="6"/>
  <c r="O76" i="1" s="1" a="1"/>
  <c r="O76" i="1" s="1"/>
  <c r="F103" i="6"/>
  <c r="O77" i="1" s="1" a="1"/>
  <c r="O77" i="1" s="1"/>
  <c r="H103" i="6" a="1"/>
  <c r="H103" i="6" s="1"/>
  <c r="F102" i="6"/>
  <c r="H102" i="6" a="1"/>
  <c r="H102" i="6" s="1"/>
  <c r="H101" i="6" a="1"/>
  <c r="H101" i="6" s="1"/>
  <c r="F100" i="6"/>
  <c r="H100" i="6" a="1"/>
  <c r="H100" i="6" s="1"/>
  <c r="F99" i="6"/>
  <c r="O53" i="1" s="1" a="1"/>
  <c r="O53" i="1" s="1"/>
  <c r="H99" i="6" a="1"/>
  <c r="H99" i="6" s="1"/>
  <c r="F98" i="6"/>
  <c r="H98" i="6" a="1"/>
  <c r="H98" i="6" s="1"/>
  <c r="F97" i="6"/>
  <c r="O52" i="1" s="1" a="1"/>
  <c r="O52" i="1" s="1"/>
  <c r="H97" i="6" a="1"/>
  <c r="H97" i="6" s="1"/>
  <c r="F96" i="6"/>
  <c r="H96" i="6" a="1"/>
  <c r="H96" i="6" s="1"/>
  <c r="F95" i="6"/>
  <c r="O66" i="1" s="1" a="1"/>
  <c r="O66" i="1" s="1"/>
  <c r="H95" i="6" a="1"/>
  <c r="H95" i="6" s="1"/>
  <c r="F94" i="6"/>
  <c r="H94" i="6" a="1"/>
  <c r="H94" i="6" s="1"/>
  <c r="F93" i="6"/>
  <c r="O55" i="1" s="1" a="1"/>
  <c r="O55" i="1" s="1"/>
  <c r="H93" i="6" a="1"/>
  <c r="H93" i="6" s="1"/>
  <c r="F92" i="6"/>
  <c r="H92" i="6" a="1"/>
  <c r="H92" i="6" s="1"/>
  <c r="F91" i="6"/>
  <c r="O49" i="1" s="1" a="1"/>
  <c r="O49" i="1" s="1"/>
  <c r="H91" i="6" a="1"/>
  <c r="H91" i="6" s="1"/>
  <c r="F90" i="6"/>
  <c r="H90" i="6" a="1"/>
  <c r="H90" i="6" s="1"/>
  <c r="F89" i="6"/>
  <c r="O35" i="1" s="1" a="1"/>
  <c r="O35" i="1" s="1"/>
  <c r="H89" i="6" a="1"/>
  <c r="H89" i="6" s="1"/>
  <c r="F88" i="6"/>
  <c r="H88" i="6" a="1"/>
  <c r="H88" i="6" s="1"/>
  <c r="F87" i="6"/>
  <c r="O32" i="1" s="1" a="1"/>
  <c r="O32" i="1" s="1"/>
  <c r="H87" i="6" a="1"/>
  <c r="H87" i="6" s="1"/>
  <c r="F86" i="6"/>
  <c r="H86" i="6" a="1"/>
  <c r="H86" i="6" s="1"/>
  <c r="F85" i="6"/>
  <c r="O46" i="1" s="1" a="1"/>
  <c r="O46" i="1" s="1"/>
  <c r="H85" i="6" a="1"/>
  <c r="H85" i="6" s="1"/>
  <c r="F84" i="6"/>
  <c r="H84" i="6" a="1"/>
  <c r="H84" i="6" s="1"/>
  <c r="F83" i="6"/>
  <c r="O45" i="1" s="1" a="1"/>
  <c r="O45" i="1" s="1"/>
  <c r="H83" i="6" a="1"/>
  <c r="H83" i="6" s="1"/>
  <c r="F82" i="6"/>
  <c r="H82" i="6" a="1"/>
  <c r="H82" i="6" s="1"/>
  <c r="F81" i="6"/>
  <c r="O44" i="1" s="1" a="1"/>
  <c r="O44" i="1" s="1"/>
  <c r="H81" i="6" a="1"/>
  <c r="H81" i="6" s="1"/>
  <c r="F80" i="6"/>
  <c r="H80" i="6" a="1"/>
  <c r="H80" i="6" s="1"/>
  <c r="F79" i="6"/>
  <c r="O43" i="1" s="1" a="1"/>
  <c r="O43" i="1" s="1"/>
  <c r="H79" i="6" a="1"/>
  <c r="H79" i="6" s="1"/>
  <c r="F78" i="6"/>
  <c r="H78" i="6" a="1"/>
  <c r="H78" i="6" s="1"/>
  <c r="B38" i="1"/>
  <c r="C38" i="1"/>
  <c r="D38" i="1"/>
  <c r="F38" i="1"/>
  <c r="G38" i="1"/>
  <c r="H38" i="1"/>
  <c r="I38" i="1"/>
  <c r="J38" i="1"/>
  <c r="K38" i="1"/>
  <c r="L38" i="1" a="1"/>
  <c r="L38" i="1" s="1"/>
  <c r="M38" i="1" a="1"/>
  <c r="M38" i="1" s="1"/>
  <c r="Q38" i="1" s="1"/>
  <c r="N38" i="1" a="1"/>
  <c r="N38" i="1" s="1"/>
  <c r="R38" i="1"/>
  <c r="B54" i="1"/>
  <c r="C54" i="1"/>
  <c r="D54" i="1"/>
  <c r="F54" i="1"/>
  <c r="G54" i="1"/>
  <c r="H54" i="1"/>
  <c r="I54" i="1"/>
  <c r="J54" i="1"/>
  <c r="K54" i="1"/>
  <c r="L54" i="1" a="1"/>
  <c r="L54" i="1" s="1"/>
  <c r="M54" i="1" a="1"/>
  <c r="M54" i="1" s="1"/>
  <c r="Q54" i="1" s="1"/>
  <c r="N54" i="1" a="1"/>
  <c r="N54" i="1" s="1"/>
  <c r="R54" i="1"/>
  <c r="B24" i="1"/>
  <c r="C24" i="1"/>
  <c r="D24" i="1"/>
  <c r="F24" i="1"/>
  <c r="G24" i="1"/>
  <c r="H24" i="1"/>
  <c r="I24" i="1"/>
  <c r="J24" i="1"/>
  <c r="K24" i="1"/>
  <c r="L24" i="1" a="1"/>
  <c r="L24" i="1" s="1"/>
  <c r="M24" i="1" a="1"/>
  <c r="M24" i="1" s="1"/>
  <c r="Q24" i="1" s="1"/>
  <c r="N24" i="1" a="1"/>
  <c r="N24" i="1" s="1"/>
  <c r="R24" i="1"/>
  <c r="B25" i="1"/>
  <c r="C25" i="1"/>
  <c r="D25" i="1"/>
  <c r="F25" i="1"/>
  <c r="G25" i="1"/>
  <c r="H25" i="1"/>
  <c r="I25" i="1"/>
  <c r="J25" i="1"/>
  <c r="K25" i="1"/>
  <c r="L25" i="1" a="1"/>
  <c r="L25" i="1" s="1"/>
  <c r="M25" i="1" a="1"/>
  <c r="M25" i="1" s="1"/>
  <c r="Q25" i="1" s="1"/>
  <c r="N25" i="1" a="1"/>
  <c r="N25" i="1" s="1"/>
  <c r="R25" i="1"/>
  <c r="B30" i="1"/>
  <c r="C30" i="1"/>
  <c r="D30" i="1"/>
  <c r="F30" i="1"/>
  <c r="G30" i="1"/>
  <c r="H30" i="1"/>
  <c r="I30" i="1"/>
  <c r="J30" i="1"/>
  <c r="K30" i="1"/>
  <c r="L30" i="1" a="1"/>
  <c r="L30" i="1" s="1"/>
  <c r="M30" i="1" a="1"/>
  <c r="M30" i="1" s="1"/>
  <c r="Q30" i="1" s="1"/>
  <c r="N30" i="1" a="1"/>
  <c r="N30" i="1" s="1"/>
  <c r="R30" i="1"/>
  <c r="B31" i="1"/>
  <c r="C31" i="1"/>
  <c r="D31" i="1"/>
  <c r="F31" i="1"/>
  <c r="G31" i="1"/>
  <c r="H31" i="1"/>
  <c r="I31" i="1"/>
  <c r="J31" i="1"/>
  <c r="K31" i="1"/>
  <c r="L31" i="1" a="1"/>
  <c r="L31" i="1" s="1"/>
  <c r="M31" i="1" a="1"/>
  <c r="M31" i="1" s="1"/>
  <c r="Q31" i="1" s="1"/>
  <c r="N31" i="1" a="1"/>
  <c r="N31" i="1" s="1"/>
  <c r="R31" i="1"/>
  <c r="B34" i="1"/>
  <c r="C34" i="1"/>
  <c r="D34" i="1"/>
  <c r="F34" i="1"/>
  <c r="G34" i="1"/>
  <c r="H34" i="1"/>
  <c r="I34" i="1"/>
  <c r="J34" i="1"/>
  <c r="K34" i="1"/>
  <c r="L34" i="1" a="1"/>
  <c r="L34" i="1" s="1"/>
  <c r="M34" i="1" a="1"/>
  <c r="M34" i="1" s="1"/>
  <c r="Q34" i="1" s="1"/>
  <c r="N34" i="1" a="1"/>
  <c r="N34" i="1" s="1"/>
  <c r="R34" i="1"/>
  <c r="B14" i="1"/>
  <c r="C14" i="1"/>
  <c r="D14" i="1"/>
  <c r="F14" i="1"/>
  <c r="G14" i="1"/>
  <c r="H14" i="1"/>
  <c r="J14" i="1"/>
  <c r="K14" i="1"/>
  <c r="L14" i="1" a="1"/>
  <c r="L14" i="1" s="1"/>
  <c r="M14" i="1" a="1"/>
  <c r="M14" i="1" s="1"/>
  <c r="Q14" i="1" s="1"/>
  <c r="N14" i="1" a="1"/>
  <c r="N14" i="1" s="1"/>
  <c r="R14" i="1"/>
  <c r="B15" i="1"/>
  <c r="C15" i="1"/>
  <c r="D15" i="1"/>
  <c r="F15" i="1"/>
  <c r="G15" i="1"/>
  <c r="H15" i="1"/>
  <c r="J15" i="1"/>
  <c r="K15" i="1"/>
  <c r="Q15" i="1"/>
  <c r="N15" i="1" a="1"/>
  <c r="N15" i="1" s="1"/>
  <c r="R15" i="1"/>
  <c r="B16" i="1"/>
  <c r="C16" i="1"/>
  <c r="D16" i="1"/>
  <c r="F16" i="1"/>
  <c r="G16" i="1"/>
  <c r="H16" i="1"/>
  <c r="J16" i="1"/>
  <c r="K16" i="1"/>
  <c r="L16" i="1" a="1"/>
  <c r="L16" i="1" s="1"/>
  <c r="M16" i="1" a="1"/>
  <c r="M16" i="1" s="1"/>
  <c r="Q16" i="1" s="1"/>
  <c r="N16" i="1" a="1"/>
  <c r="N16" i="1" s="1"/>
  <c r="R16" i="1"/>
  <c r="B20" i="1"/>
  <c r="C20" i="1"/>
  <c r="D20" i="1"/>
  <c r="F20" i="1"/>
  <c r="G20" i="1"/>
  <c r="H20" i="1"/>
  <c r="J20" i="1"/>
  <c r="K20" i="1"/>
  <c r="L20" i="1" a="1"/>
  <c r="L20" i="1" s="1"/>
  <c r="M20" i="1" a="1"/>
  <c r="M20" i="1" s="1"/>
  <c r="Q20" i="1" s="1"/>
  <c r="N20" i="1" a="1"/>
  <c r="N20" i="1" s="1"/>
  <c r="R20" i="1"/>
  <c r="F77" i="6"/>
  <c r="O39" i="1" s="1" a="1"/>
  <c r="O39" i="1" s="1"/>
  <c r="H77" i="6" a="1"/>
  <c r="H77" i="6" s="1"/>
  <c r="F76" i="6"/>
  <c r="H76" i="6" a="1"/>
  <c r="H76" i="6" s="1"/>
  <c r="F75" i="6"/>
  <c r="O36" i="1" s="1" a="1"/>
  <c r="O36" i="1" s="1"/>
  <c r="H75" i="6" a="1"/>
  <c r="H75" i="6" s="1"/>
  <c r="F74" i="6"/>
  <c r="H74" i="6" a="1"/>
  <c r="H74" i="6" s="1"/>
  <c r="F73" i="6"/>
  <c r="O54" i="1" s="1" a="1"/>
  <c r="O54" i="1" s="1"/>
  <c r="H73" i="6" a="1"/>
  <c r="H73" i="6" s="1"/>
  <c r="F72" i="6"/>
  <c r="H72" i="6" a="1"/>
  <c r="H72" i="6" s="1"/>
  <c r="F71" i="6"/>
  <c r="O51" i="1" s="1" a="1"/>
  <c r="O51" i="1" s="1"/>
  <c r="H71" i="6" a="1"/>
  <c r="H71" i="6" s="1"/>
  <c r="F70" i="6"/>
  <c r="H70" i="6" a="1"/>
  <c r="H70" i="6" s="1"/>
  <c r="F69" i="6"/>
  <c r="O38" i="1" s="1" a="1"/>
  <c r="O38" i="1" s="1"/>
  <c r="H69" i="6" a="1"/>
  <c r="H69" i="6" s="1"/>
  <c r="F68" i="6"/>
  <c r="H68" i="6" a="1"/>
  <c r="H68" i="6" s="1"/>
  <c r="F67" i="6"/>
  <c r="O37" i="1" s="1" a="1"/>
  <c r="O37" i="1" s="1"/>
  <c r="H67" i="6" a="1"/>
  <c r="H67" i="6" s="1"/>
  <c r="F66" i="6"/>
  <c r="H66" i="6" a="1"/>
  <c r="H66" i="6" s="1"/>
  <c r="F65" i="6"/>
  <c r="O9" i="1" s="1" a="1"/>
  <c r="O9" i="1" s="1"/>
  <c r="H65" i="6" a="1"/>
  <c r="H65" i="6" s="1"/>
  <c r="F64" i="6"/>
  <c r="H64" i="6" a="1"/>
  <c r="H64" i="6" s="1"/>
  <c r="F63" i="6"/>
  <c r="O6" i="1" s="1" a="1"/>
  <c r="O6" i="1" s="1"/>
  <c r="H63" i="6" a="1"/>
  <c r="H63" i="6" s="1"/>
  <c r="F62" i="6"/>
  <c r="H62" i="6" a="1"/>
  <c r="H62" i="6" s="1"/>
  <c r="F61" i="6"/>
  <c r="O34" i="1" s="1" a="1"/>
  <c r="O34" i="1" s="1"/>
  <c r="H61" i="6" a="1"/>
  <c r="H61" i="6" s="1"/>
  <c r="F60" i="6"/>
  <c r="H60" i="6" a="1"/>
  <c r="H60" i="6" s="1"/>
  <c r="F59" i="6"/>
  <c r="O33" i="1" s="1" a="1"/>
  <c r="O33" i="1" s="1"/>
  <c r="H59" i="6" a="1"/>
  <c r="H59" i="6" s="1"/>
  <c r="F58" i="6"/>
  <c r="H58" i="6" a="1"/>
  <c r="H58" i="6" s="1"/>
  <c r="F57" i="6"/>
  <c r="O108" i="1" s="1" a="1"/>
  <c r="O108" i="1" s="1"/>
  <c r="H57" i="6" a="1"/>
  <c r="H57" i="6" s="1"/>
  <c r="F56" i="6"/>
  <c r="H56" i="6" a="1"/>
  <c r="H56" i="6" s="1"/>
  <c r="F55" i="6"/>
  <c r="O31" i="1" s="1" a="1"/>
  <c r="O31" i="1" s="1"/>
  <c r="H55" i="6" a="1"/>
  <c r="H55" i="6" s="1"/>
  <c r="F54" i="6"/>
  <c r="H54" i="6" a="1"/>
  <c r="H54" i="6" s="1"/>
  <c r="F53" i="6"/>
  <c r="O30" i="1" s="1" a="1"/>
  <c r="O30" i="1" s="1"/>
  <c r="H53" i="6" a="1"/>
  <c r="H53" i="6" s="1"/>
  <c r="F52" i="6"/>
  <c r="H52" i="6" a="1"/>
  <c r="H52" i="6" s="1"/>
  <c r="F51" i="6"/>
  <c r="O29" i="1" s="1" a="1"/>
  <c r="O29" i="1" s="1"/>
  <c r="H51" i="6" a="1"/>
  <c r="H51" i="6" s="1"/>
  <c r="F50" i="6"/>
  <c r="H50" i="6" a="1"/>
  <c r="H50" i="6" s="1"/>
  <c r="F49" i="6"/>
  <c r="O28" i="1" s="1" a="1"/>
  <c r="O28" i="1" s="1"/>
  <c r="H49" i="6" a="1"/>
  <c r="H49" i="6" s="1"/>
  <c r="F48" i="6"/>
  <c r="H48" i="6" a="1"/>
  <c r="H48" i="6" s="1"/>
  <c r="F47" i="6"/>
  <c r="O27" i="1" s="1" a="1"/>
  <c r="O27" i="1" s="1"/>
  <c r="H47" i="6" a="1"/>
  <c r="H47" i="6" s="1"/>
  <c r="F46" i="6"/>
  <c r="H46" i="6" a="1"/>
  <c r="H46" i="6" s="1"/>
  <c r="F45" i="6"/>
  <c r="O26" i="1" s="1" a="1"/>
  <c r="O26" i="1" s="1"/>
  <c r="H45" i="6" a="1"/>
  <c r="H45" i="6" s="1"/>
  <c r="F44" i="6"/>
  <c r="H44" i="6" a="1"/>
  <c r="H44" i="6" s="1"/>
  <c r="F43" i="6"/>
  <c r="O25" i="1" s="1" a="1"/>
  <c r="O25" i="1" s="1"/>
  <c r="H43" i="6" a="1"/>
  <c r="H43" i="6" s="1"/>
  <c r="F42" i="6"/>
  <c r="H42" i="6" a="1"/>
  <c r="H42" i="6" s="1"/>
  <c r="F41" i="6"/>
  <c r="O24" i="1" s="1" a="1"/>
  <c r="O24" i="1" s="1"/>
  <c r="H41" i="6" a="1"/>
  <c r="H41" i="6" s="1"/>
  <c r="F40" i="6"/>
  <c r="H40" i="6" a="1"/>
  <c r="H40" i="6" s="1"/>
  <c r="F39" i="6"/>
  <c r="O23" i="1" s="1" a="1"/>
  <c r="O23" i="1" s="1"/>
  <c r="H39" i="6" a="1"/>
  <c r="H39" i="6" s="1"/>
  <c r="F38" i="6"/>
  <c r="H38" i="6" a="1"/>
  <c r="H38" i="6" s="1"/>
  <c r="F37" i="6"/>
  <c r="O70" i="1" s="1" a="1"/>
  <c r="O70" i="1" s="1"/>
  <c r="H37" i="6" a="1"/>
  <c r="H37" i="6" s="1"/>
  <c r="F36" i="6"/>
  <c r="H36" i="6" a="1"/>
  <c r="H36" i="6" s="1"/>
  <c r="H35" i="6" a="1"/>
  <c r="H35" i="6" s="1"/>
  <c r="F35" i="6"/>
  <c r="O69" i="1" s="1" a="1"/>
  <c r="O69" i="1" s="1"/>
  <c r="F34" i="6"/>
  <c r="H34" i="6" a="1"/>
  <c r="H34" i="6" s="1"/>
  <c r="F33" i="6"/>
  <c r="O20" i="1" s="1" a="1"/>
  <c r="O20" i="1" s="1"/>
  <c r="H33" i="6" a="1"/>
  <c r="H33" i="6" s="1"/>
  <c r="F32" i="6"/>
  <c r="H32" i="6" a="1"/>
  <c r="H32" i="6" s="1"/>
  <c r="F31" i="6"/>
  <c r="O19" i="1" s="1" a="1"/>
  <c r="O19" i="1" s="1"/>
  <c r="H31" i="6" a="1"/>
  <c r="H31" i="6" s="1"/>
  <c r="F30" i="6"/>
  <c r="H30" i="6" a="1"/>
  <c r="H30" i="6" s="1"/>
  <c r="F29" i="6"/>
  <c r="O128" i="1" s="1" a="1"/>
  <c r="O128" i="1" s="1"/>
  <c r="H29" i="6" a="1"/>
  <c r="H29" i="6" s="1"/>
  <c r="F28" i="6"/>
  <c r="H28" i="6" a="1"/>
  <c r="H28" i="6" s="1"/>
  <c r="H27" i="6" a="1"/>
  <c r="H27" i="6" s="1"/>
  <c r="F27" i="6"/>
  <c r="O120" i="1" s="1" a="1"/>
  <c r="O120" i="1" s="1"/>
  <c r="F26" i="6"/>
  <c r="H26" i="6" a="1"/>
  <c r="H26" i="6" s="1"/>
  <c r="F25" i="6"/>
  <c r="O16" i="1" s="1" a="1"/>
  <c r="O16" i="1" s="1"/>
  <c r="H25" i="6" a="1"/>
  <c r="H25" i="6" s="1"/>
  <c r="F24" i="6"/>
  <c r="H24" i="6" a="1"/>
  <c r="H24" i="6" s="1"/>
  <c r="F23" i="6"/>
  <c r="O15" i="1" s="1" a="1"/>
  <c r="O15" i="1" s="1"/>
  <c r="H23" i="6" a="1"/>
  <c r="H23" i="6" s="1"/>
  <c r="F22" i="6"/>
  <c r="H22" i="6" a="1"/>
  <c r="H22" i="6" s="1"/>
  <c r="F21" i="6"/>
  <c r="O14" i="1" s="1" a="1"/>
  <c r="O14" i="1" s="1"/>
  <c r="H21" i="6" a="1"/>
  <c r="H21" i="6" s="1"/>
  <c r="H20" i="6" a="1"/>
  <c r="H20" i="6" s="1"/>
  <c r="F20" i="6"/>
  <c r="H19" i="6" a="1"/>
  <c r="H19" i="6" s="1"/>
  <c r="F19" i="6"/>
  <c r="O13" i="1" s="1" a="1"/>
  <c r="O13" i="1" s="1"/>
  <c r="H18" i="6" a="1"/>
  <c r="H18" i="6" s="1"/>
  <c r="F18" i="6"/>
  <c r="H3" i="6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 s="1"/>
  <c r="H17" i="6" a="1"/>
  <c r="H17" i="6" s="1"/>
  <c r="H2" i="6" a="1"/>
  <c r="H2" i="6" s="1"/>
  <c r="D4" i="1"/>
  <c r="C4" i="1"/>
  <c r="R4" i="1"/>
  <c r="F17" i="6"/>
  <c r="O158" i="1" s="1" a="1"/>
  <c r="O158" i="1" s="1"/>
  <c r="F16" i="6"/>
  <c r="F15" i="6"/>
  <c r="O11" i="1" s="1" a="1"/>
  <c r="O11" i="1" s="1"/>
  <c r="F14" i="6"/>
  <c r="F13" i="6"/>
  <c r="O10" i="1" s="1" a="1"/>
  <c r="O10" i="1" s="1"/>
  <c r="F12" i="6"/>
  <c r="F11" i="6"/>
  <c r="O42" i="1" s="1" a="1"/>
  <c r="O42" i="1" s="1"/>
  <c r="F10" i="6"/>
  <c r="O8" i="1" s="1" a="1"/>
  <c r="O8" i="1" s="1"/>
  <c r="F9" i="6"/>
  <c r="O7" i="1" s="1" a="1"/>
  <c r="O7" i="1" s="1"/>
  <c r="F3" i="6"/>
  <c r="O4" i="1" s="1" a="1"/>
  <c r="O4" i="1" s="1"/>
  <c r="F4" i="6"/>
  <c r="F5" i="6"/>
  <c r="O5" i="1" s="1" a="1"/>
  <c r="O5" i="1" s="1"/>
  <c r="F6" i="6"/>
  <c r="F7" i="6"/>
  <c r="O41" i="1" s="1" a="1"/>
  <c r="O41" i="1" s="1"/>
  <c r="F8" i="6"/>
  <c r="N4" i="1" a="1"/>
  <c r="N4" i="1" s="1"/>
  <c r="M4" i="1" a="1"/>
  <c r="M4" i="1" s="1"/>
  <c r="L4" i="1" a="1"/>
  <c r="L4" i="1" s="1"/>
  <c r="K4" i="1"/>
  <c r="J4" i="1"/>
  <c r="I4" i="1"/>
  <c r="H4" i="1"/>
  <c r="G4" i="1"/>
  <c r="F4" i="1"/>
  <c r="B4" i="1"/>
  <c r="F2" i="6"/>
  <c r="B11" i="8"/>
  <c r="A64" i="7"/>
  <c r="B63" i="7"/>
  <c r="A63" i="7"/>
  <c r="B62" i="7"/>
  <c r="A62" i="7"/>
  <c r="B61" i="7"/>
  <c r="A61" i="7"/>
  <c r="B60" i="7"/>
  <c r="A60" i="7"/>
  <c r="B59" i="7"/>
  <c r="A59" i="7"/>
  <c r="B58" i="7"/>
  <c r="A58" i="7"/>
  <c r="B57" i="7"/>
  <c r="A57" i="7"/>
  <c r="B56" i="7"/>
  <c r="A56" i="7"/>
  <c r="B55" i="7"/>
  <c r="A55" i="7"/>
  <c r="B54" i="7"/>
  <c r="A54" i="7"/>
  <c r="B53" i="7"/>
  <c r="A53" i="7"/>
  <c r="B52" i="7"/>
  <c r="A52" i="7"/>
  <c r="B51" i="7"/>
  <c r="A51" i="7"/>
  <c r="B50" i="7"/>
  <c r="A50" i="7"/>
  <c r="B49" i="7"/>
  <c r="A49" i="7"/>
  <c r="B48" i="7"/>
  <c r="A48" i="7"/>
  <c r="B47" i="7"/>
  <c r="A47" i="7"/>
  <c r="B46" i="7"/>
  <c r="A46" i="7"/>
  <c r="B45" i="7"/>
  <c r="A45" i="7"/>
  <c r="B44" i="7"/>
  <c r="A44" i="7"/>
  <c r="B43" i="7"/>
  <c r="A43" i="7"/>
  <c r="B42" i="7"/>
  <c r="A42" i="7"/>
  <c r="B41" i="7"/>
  <c r="A41" i="7"/>
  <c r="B40" i="7"/>
  <c r="A40" i="7"/>
  <c r="B39" i="7"/>
  <c r="A39" i="7"/>
  <c r="B38" i="7"/>
  <c r="A38" i="7"/>
  <c r="B37" i="7"/>
  <c r="A37" i="7"/>
  <c r="B36" i="7"/>
  <c r="A36" i="7"/>
  <c r="B35" i="7"/>
  <c r="A35" i="7"/>
  <c r="B34" i="7"/>
  <c r="A34" i="7"/>
  <c r="B33" i="7"/>
  <c r="A33" i="7"/>
  <c r="B32" i="7"/>
  <c r="A32" i="7"/>
  <c r="B31" i="7"/>
  <c r="A31" i="7"/>
  <c r="B30" i="7"/>
  <c r="A30" i="7"/>
  <c r="B29" i="7"/>
  <c r="A29" i="7"/>
  <c r="B28" i="7"/>
  <c r="A28" i="7"/>
  <c r="B27" i="7"/>
  <c r="A27" i="7"/>
  <c r="B26" i="7"/>
  <c r="A26" i="7"/>
  <c r="B25" i="7"/>
  <c r="A25" i="7"/>
  <c r="B24" i="7"/>
  <c r="A24" i="7"/>
  <c r="B23" i="7"/>
  <c r="A23" i="7"/>
  <c r="B22" i="7"/>
  <c r="A22" i="7"/>
  <c r="B21" i="7"/>
  <c r="A21" i="7"/>
  <c r="B20" i="7"/>
  <c r="A20" i="7"/>
  <c r="B19" i="7"/>
  <c r="A19" i="7"/>
  <c r="B18" i="7"/>
  <c r="A18" i="7"/>
  <c r="B17" i="7"/>
  <c r="A17" i="7"/>
  <c r="B16" i="7"/>
  <c r="A16" i="7"/>
  <c r="B15" i="7"/>
  <c r="A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A8" i="7"/>
  <c r="B7" i="7"/>
  <c r="A7" i="7"/>
  <c r="B6" i="7"/>
  <c r="A6" i="7"/>
  <c r="B5" i="7"/>
  <c r="A5" i="7"/>
  <c r="B4" i="7"/>
  <c r="A4" i="7"/>
  <c r="B3" i="7"/>
  <c r="A3" i="7"/>
  <c r="B2" i="7"/>
  <c r="A2" i="7"/>
  <c r="O12" i="1" l="1" a="1"/>
  <c r="O12" i="1" s="1"/>
  <c r="O177" i="1" a="1"/>
  <c r="O177" i="1" s="1"/>
  <c r="O178" i="1" a="1"/>
  <c r="O178" i="1" s="1"/>
  <c r="O179" i="1" a="1"/>
  <c r="O179" i="1" s="1"/>
  <c r="O174" i="1" a="1"/>
  <c r="O174" i="1" s="1"/>
  <c r="O180" i="1" a="1"/>
  <c r="O180" i="1" s="1"/>
  <c r="H190" i="6"/>
  <c r="L101" i="1" a="1"/>
  <c r="L101" i="1" s="1"/>
  <c r="H191" i="6" a="1"/>
  <c r="H191" i="6" s="1"/>
  <c r="L102" i="1" a="1"/>
  <c r="L102" i="1" s="1"/>
  <c r="F291" i="6"/>
  <c r="O163" i="1" s="1" a="1"/>
  <c r="O163" i="1" s="1"/>
  <c r="M163" i="1" a="1"/>
  <c r="M163" i="1" s="1"/>
  <c r="Q163" i="1" s="1"/>
  <c r="H192" i="6" a="1"/>
  <c r="H192" i="6" s="1"/>
  <c r="L103" i="1" a="1"/>
  <c r="L103" i="1" s="1"/>
  <c r="H276" i="6" a="1"/>
  <c r="H276" i="6" s="1"/>
  <c r="L21" i="1" a="1"/>
  <c r="L21" i="1" s="1"/>
  <c r="H271" i="6" a="1"/>
  <c r="H271" i="6" s="1"/>
  <c r="L142" i="1" a="1"/>
  <c r="L142" i="1" s="1"/>
  <c r="H184" i="6" a="1"/>
  <c r="H184" i="6" s="1"/>
  <c r="L97" i="1" a="1"/>
  <c r="L97" i="1" s="1"/>
  <c r="F276" i="6"/>
  <c r="O21" i="1" s="1"/>
  <c r="F271" i="6"/>
  <c r="O142" i="1" s="1" a="1"/>
  <c r="O142" i="1" s="1"/>
  <c r="F246" i="6"/>
  <c r="O68" i="1" s="1" a="1"/>
  <c r="O68" i="1" s="1"/>
  <c r="H246" i="6" a="1"/>
  <c r="H246" i="6" s="1"/>
  <c r="F183" i="6"/>
  <c r="O96" i="1" s="1" a="1"/>
  <c r="O96" i="1" s="1"/>
  <c r="H183" i="6" a="1"/>
  <c r="H183" i="6" s="1"/>
  <c r="F184" i="6"/>
  <c r="O97" i="1" s="1" a="1"/>
  <c r="O97" i="1" s="1"/>
  <c r="F191" i="6"/>
  <c r="O102" i="1" s="1" a="1"/>
  <c r="O102" i="1" s="1"/>
  <c r="F192" i="6"/>
  <c r="O103" i="1" s="1" a="1"/>
  <c r="O103" i="1" s="1"/>
  <c r="F190" i="6"/>
  <c r="O101" i="1" s="1" a="1"/>
  <c r="O101" i="1" s="1"/>
  <c r="Q4" i="1"/>
  <c r="H5" i="8"/>
  <c r="B38" i="8" l="1"/>
  <c r="B52" i="8"/>
  <c r="F71" i="8"/>
  <c r="E58" i="8"/>
  <c r="F59" i="8"/>
  <c r="E56" i="8"/>
  <c r="F61" i="8"/>
  <c r="E63" i="8"/>
  <c r="D55" i="8"/>
  <c r="C60" i="8"/>
  <c r="B66" i="8"/>
  <c r="C54" i="8"/>
  <c r="F52" i="8"/>
  <c r="B55" i="8"/>
  <c r="D58" i="8"/>
  <c r="D67" i="8"/>
  <c r="C64" i="8"/>
  <c r="B61" i="8"/>
  <c r="F57" i="8"/>
  <c r="E68" i="8"/>
  <c r="E54" i="8"/>
  <c r="D63" i="8"/>
  <c r="C53" i="8"/>
  <c r="E61" i="8"/>
  <c r="E66" i="8"/>
  <c r="C55" i="8"/>
  <c r="F53" i="8"/>
  <c r="C70" i="8"/>
  <c r="B70" i="8"/>
  <c r="E57" i="8"/>
  <c r="D65" i="8"/>
  <c r="B44" i="8"/>
  <c r="F67" i="8"/>
  <c r="B69" i="8"/>
  <c r="B59" i="8"/>
  <c r="D53" i="8"/>
  <c r="C58" i="8"/>
  <c r="B71" i="8"/>
  <c r="F56" i="8"/>
  <c r="F70" i="8"/>
  <c r="F69" i="8"/>
  <c r="E55" i="8"/>
  <c r="D59" i="8"/>
  <c r="E69" i="8"/>
  <c r="D52" i="8"/>
  <c r="B33" i="8"/>
  <c r="E60" i="8"/>
  <c r="C68" i="8"/>
  <c r="B64" i="8"/>
  <c r="B35" i="8"/>
  <c r="B32" i="8"/>
  <c r="C62" i="8"/>
  <c r="F63" i="8"/>
  <c r="E64" i="8"/>
  <c r="E62" i="8"/>
  <c r="F55" i="8"/>
  <c r="B34" i="8"/>
  <c r="B53" i="8"/>
  <c r="F58" i="8"/>
  <c r="E65" i="8"/>
  <c r="B37" i="8"/>
  <c r="E67" i="8"/>
  <c r="B67" i="8"/>
  <c r="E53" i="8"/>
  <c r="D61" i="8"/>
  <c r="D71" i="8"/>
  <c r="D70" i="8"/>
  <c r="C56" i="8"/>
  <c r="B65" i="8"/>
  <c r="E70" i="8"/>
  <c r="C59" i="8"/>
  <c r="D60" i="8"/>
  <c r="D54" i="8"/>
  <c r="B46" i="8"/>
  <c r="E52" i="8"/>
  <c r="D64" i="8"/>
  <c r="D57" i="8"/>
  <c r="C57" i="8"/>
  <c r="E71" i="8"/>
  <c r="C61" i="8"/>
  <c r="D62" i="8"/>
  <c r="F65" i="8"/>
  <c r="C71" i="8"/>
  <c r="D69" i="8"/>
  <c r="C69" i="8"/>
  <c r="C65" i="8"/>
  <c r="B68" i="8"/>
  <c r="F54" i="8"/>
  <c r="C66" i="8"/>
  <c r="B56" i="8"/>
  <c r="B36" i="8"/>
  <c r="F62" i="8"/>
  <c r="E59" i="8"/>
  <c r="D66" i="8"/>
  <c r="C52" i="8"/>
  <c r="F68" i="8"/>
  <c r="B54" i="8"/>
  <c r="C63" i="8"/>
  <c r="B39" i="8"/>
  <c r="D68" i="8"/>
  <c r="B58" i="8"/>
  <c r="F60" i="8"/>
  <c r="D56" i="8"/>
  <c r="H6" i="8"/>
  <c r="B62" i="8"/>
  <c r="F64" i="8"/>
  <c r="B45" i="8"/>
  <c r="B63" i="8"/>
  <c r="F66" i="8"/>
  <c r="C67" i="8"/>
  <c r="B57" i="8"/>
  <c r="B60" i="8"/>
  <c r="B13" i="8" l="1"/>
  <c r="B20" i="8"/>
  <c r="B15" i="8"/>
  <c r="B25" i="8"/>
  <c r="B10" i="8"/>
  <c r="B21" i="8"/>
  <c r="B14" i="8"/>
  <c r="B16" i="8"/>
  <c r="B26" i="8"/>
  <c r="B27" i="8"/>
  <c r="B12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<sst xmlns="http://schemas.openxmlformats.org/spreadsheetml/2006/main" count="6223" uniqueCount="2507">
  <si>
    <t>TABLEAU DE BORD - Gestion des Locations d'Appareils Respiratoires</t>
  </si>
  <si>
    <t>📋 GUIDE DASHBOARD</t>
  </si>
  <si>
    <t>⚠️ Seul ce champ est éditable</t>
  </si>
  <si>
    <t>🎯 UTILISATION:</t>
  </si>
  <si>
    <t>Location ID</t>
  </si>
  <si>
    <t>Patient</t>
  </si>
  <si>
    <t>Téléphone 1</t>
  </si>
  <si>
    <t>Téléphone 2</t>
  </si>
  <si>
    <t>Assurance</t>
  </si>
  <si>
    <t>Médecin</t>
  </si>
  <si>
    <t>Technicien</t>
  </si>
  <si>
    <t>Superviseur</t>
  </si>
  <si>
    <t>Appareil</t>
  </si>
  <si>
    <t>Date Installation</t>
  </si>
  <si>
    <t>Début Dernier Paiement</t>
  </si>
  <si>
    <t>Fin Dernier Paiement</t>
  </si>
  <si>
    <t>Type Paiement</t>
  </si>
  <si>
    <t>Montant (TND)</t>
  </si>
  <si>
    <t>Date Rappel</t>
  </si>
  <si>
    <t>Jours depuis fin paiement</t>
  </si>
  <si>
    <t>Stock Actuel</t>
  </si>
  <si>
    <t>Note</t>
  </si>
  <si>
    <t>• Vue temps réel des locations actives</t>
  </si>
  <si>
    <t>LOC0001</t>
  </si>
  <si>
    <t>• Suivi automatique des paiements</t>
  </si>
  <si>
    <t>LOC0002</t>
  </si>
  <si>
    <t>• Alertes visuelles pour retards</t>
  </si>
  <si>
    <t>LOC0003</t>
  </si>
  <si>
    <t>🚀 TEMPLATE AVEC EXEMPLES ELITE V11:</t>
  </si>
  <si>
    <t>• 3 locations actives avec données complètes</t>
  </si>
  <si>
    <t>• Dashboard rempli avec formules fonctionnelles</t>
  </si>
  <si>
    <t>• 'Jours depuis fin paiement' remplace montant</t>
  </si>
  <si>
    <t>• Calcul automatique: TODAY() - Fin Dernier Paiement</t>
  </si>
  <si>
    <t>🔴 CODES COULEUR JOURS:</t>
  </si>
  <si>
    <t>• Rouge: &gt; 7 jours de retard</t>
  </si>
  <si>
    <t>• Orange: 1-7 jours de retard</t>
  </si>
  <si>
    <t>• Vert: Période active ou future</t>
  </si>
  <si>
    <t>📅 DATE RAPPEL:</t>
  </si>
  <si>
    <t>• Rouge: Date dépassée</t>
  </si>
  <si>
    <t>• Orange: Dans 3 jours</t>
  </si>
  <si>
    <t>• Calcul: Fin dernier paiement - 3j</t>
  </si>
  <si>
    <t>✏️ CHAMP ÉDITABLE ELITE V3:</t>
  </si>
  <si>
    <t>• Colonne 'Note' maintenant 100% éditable</t>
  </si>
  <si>
    <t>• Plus de formule - tapez directement</t>
  </si>
  <si>
    <t>• Pour commentaires, rappels, observations</t>
  </si>
  <si>
    <t>🔍 FILTRES UTILES:</t>
  </si>
  <si>
    <t>• Par Gap pour voir retards</t>
  </si>
  <si>
    <t>• Par Technicien/Superviseur</t>
  </si>
  <si>
    <t>• Par Type assurance</t>
  </si>
  <si>
    <t>💡 PERFORMANCE:</t>
  </si>
  <si>
    <t>• Formules optimisées LOOKUP</t>
  </si>
  <si>
    <t>• Compatible toutes versions Excel</t>
  </si>
  <si>
    <t>• Pas de limite de taille table</t>
  </si>
  <si>
    <t>• Toujours le VRAI dernier paiement</t>
  </si>
  <si>
    <t>PatientID</t>
  </si>
  <si>
    <t>CIN</t>
  </si>
  <si>
    <t>Région</t>
  </si>
  <si>
    <t>Délégation</t>
  </si>
  <si>
    <t>Adresse</t>
  </si>
  <si>
    <t>Tel1</t>
  </si>
  <si>
    <t>DescTel1</t>
  </si>
  <si>
    <t>Tel2</t>
  </si>
  <si>
    <t>DescTel2</t>
  </si>
  <si>
    <t>Statut</t>
  </si>
  <si>
    <t>Notes</t>
  </si>
  <si>
    <t>📋 GUIDE D'UTILISATION - DB_PATIENTS</t>
  </si>
  <si>
    <t>PAT0001</t>
  </si>
  <si>
    <t>CNAM</t>
  </si>
  <si>
    <t>Actif</t>
  </si>
  <si>
    <t>🚀 DÉMARRAGE RAPIDE:</t>
  </si>
  <si>
    <t>PAT0002</t>
  </si>
  <si>
    <t>1. TEMPLATE AVEC EXEMPLES V11:</t>
  </si>
  <si>
    <t>PAT0003</t>
  </si>
  <si>
    <t xml:space="preserve">   • 5 patients exemples pour tester</t>
  </si>
  <si>
    <t>PAT0004</t>
  </si>
  <si>
    <t xml:space="preserve">   • Supprimez-les pour vos vraies données</t>
  </si>
  <si>
    <t>PAT0005</t>
  </si>
  <si>
    <t>2. AJOUTER UN NOUVEAU PATIENT:</t>
  </si>
  <si>
    <t xml:space="preserve">   • PatientID: Format PAT#### (ex: PAT0001)</t>
  </si>
  <si>
    <t xml:space="preserve">   • NomComplet: Prénom + Nom en un seul champ</t>
  </si>
  <si>
    <t xml:space="preserve">   • CIN: 8 chiffres obligatoires</t>
  </si>
  <si>
    <t xml:space="preserve">   • DateNaissance: Format JJ/MM/AAAA</t>
  </si>
  <si>
    <t xml:space="preserve">   • Tel1: Obligatoire (mobile de préférence)</t>
  </si>
  <si>
    <t xml:space="preserve">   • Tel2: Optionnel (fixe généralement)</t>
  </si>
  <si>
    <t>3. CHAMPS IMPORTANTS:</t>
  </si>
  <si>
    <t xml:space="preserve">   • Statut: 'Actif' ou 'Suspendu'</t>
  </si>
  <si>
    <t xml:space="preserve">   • Assurance: Type de couverture (CNAM, etc.)</t>
  </si>
  <si>
    <t xml:space="preserve">   • NAffiliation: Si assurance ≠ 'Sans'</t>
  </si>
  <si>
    <t>⚠️ ATTENTION - NE PAS:</t>
  </si>
  <si>
    <t xml:space="preserve">   • Ajouter/supprimer des colonnes</t>
  </si>
  <si>
    <t xml:space="preserve">   • Modifier les en-têtes</t>
  </si>
  <si>
    <t xml:space="preserve">   • Changer l'ordre des colonnes</t>
  </si>
  <si>
    <t xml:space="preserve">   → Cela casserait les formules!</t>
  </si>
  <si>
    <t>💡 CONSEILS:</t>
  </si>
  <si>
    <t xml:space="preserve">   • Utiliser la touche Tab pour naviguer</t>
  </si>
  <si>
    <t xml:space="preserve">   • Ctrl+; insère la date du jour</t>
  </si>
  <si>
    <t xml:space="preserve">   • Double-clic pour éditer une cellule</t>
  </si>
  <si>
    <t>📊 EXPANSION SÉCURISÉE:</t>
  </si>
  <si>
    <t>Pour ajouter des champs supplémentaires:</t>
  </si>
  <si>
    <t>1. Ajouter APRÈS la colonne 'Notes' (S)</t>
  </si>
  <si>
    <t>2. Ne jamais insérer au milieu</t>
  </si>
  <si>
    <t>3. Mettre à jour vos propres formules</t>
  </si>
  <si>
    <t>AppareilID</t>
  </si>
  <si>
    <t>Type</t>
  </si>
  <si>
    <t>Modèle</t>
  </si>
  <si>
    <t>Localisation</t>
  </si>
  <si>
    <t>APP0001</t>
  </si>
  <si>
    <t>CPAP</t>
  </si>
  <si>
    <t>APP0002</t>
  </si>
  <si>
    <t>APP0003</t>
  </si>
  <si>
    <t xml:space="preserve">   • 5 appareils exemples (3 loués, 2 disponibles)</t>
  </si>
  <si>
    <t>APP0004</t>
  </si>
  <si>
    <t xml:space="preserve">   • Supprimez-les pour vos vrais appareils</t>
  </si>
  <si>
    <t>APP0005</t>
  </si>
  <si>
    <t>2. AJOUTER UN APPAREIL:</t>
  </si>
  <si>
    <t xml:space="preserve">   • AppareilID: Format APP#### unique</t>
  </si>
  <si>
    <t xml:space="preserve">   • Type: CPAP, BiPAP, Concentrateur O2, etc.</t>
  </si>
  <si>
    <t xml:space="preserve">   • NuméroSérie: Numéro unique du fabricant</t>
  </si>
  <si>
    <t xml:space="preserve">   • Statut: IMPORTANT pour disponibilité</t>
  </si>
  <si>
    <t>3. STATUTS POSSIBLES:</t>
  </si>
  <si>
    <t xml:space="preserve">   • 'Disponible': Peut être loué</t>
  </si>
  <si>
    <t xml:space="preserve">   • 'Loué': En location actuellement</t>
  </si>
  <si>
    <t xml:space="preserve">   • 'Maintenance': Entretien préventif</t>
  </si>
  <si>
    <t xml:space="preserve">   • 'Réparation': En panne</t>
  </si>
  <si>
    <t xml:space="preserve">   • 'Retiré': Plus en service</t>
  </si>
  <si>
    <t>4. LOCALISATION:</t>
  </si>
  <si>
    <t xml:space="preserve">   • Si Statut='Loué' → 'Chez Patient'</t>
  </si>
  <si>
    <t xml:space="preserve">   • Si Disponible → 'Stock'</t>
  </si>
  <si>
    <t xml:space="preserve">   • Si Maintenance/Réparation → 'Atelier'</t>
  </si>
  <si>
    <t>⚠️ RÈGLES CRITIQUES:</t>
  </si>
  <si>
    <t xml:space="preserve">   • Statut change automatiquement via Locations</t>
  </si>
  <si>
    <t xml:space="preserve">   • Ne pas modifier manuellement le statut d'un</t>
  </si>
  <si>
    <t xml:space="preserve">     appareil en location active</t>
  </si>
  <si>
    <t>💡 MAINTENANCE:</t>
  </si>
  <si>
    <t>✅ ELITE V3 - STRUCTURE OPTIMISÉE:</t>
  </si>
  <si>
    <t xml:space="preserve">   • Suppression ValeurAchat (non essentiel)</t>
  </si>
  <si>
    <t xml:space="preserve">   • Suppression NbLocations (calculable)</t>
  </si>
  <si>
    <t xml:space="preserve">   • Focus sur l'opérationnel uniquement</t>
  </si>
  <si>
    <t>📊 EXPANSION POSSIBLE:</t>
  </si>
  <si>
    <t>• Fournisseur</t>
  </si>
  <si>
    <t>• Garantie</t>
  </si>
  <si>
    <t>• ProchaineMaintenance</t>
  </si>
  <si>
    <t>• CertificationExpiration</t>
  </si>
  <si>
    <t>• ValeurAchat (si comptabilité nécessaire)</t>
  </si>
  <si>
    <t>LocationID</t>
  </si>
  <si>
    <t>DateFin</t>
  </si>
  <si>
    <t>MontantMensuel</t>
  </si>
  <si>
    <t>StatutLocation</t>
  </si>
  <si>
    <t>DateCréation</t>
  </si>
  <si>
    <t>Bilel Bouhlel</t>
  </si>
  <si>
    <t>PaiementID</t>
  </si>
  <si>
    <t>PériodeNum</t>
  </si>
  <si>
    <t>Montant</t>
  </si>
  <si>
    <t>TypePaiement</t>
  </si>
  <si>
    <t>Gap</t>
  </si>
  <si>
    <t>PAY00001</t>
  </si>
  <si>
    <t>PAY00002</t>
  </si>
  <si>
    <t>PAY00003</t>
  </si>
  <si>
    <t>PAY00004</t>
  </si>
  <si>
    <t>PAY00005</t>
  </si>
  <si>
    <t>PAY00006</t>
  </si>
  <si>
    <t>PAY00007</t>
  </si>
  <si>
    <t>PatientEquipmentCombos</t>
  </si>
  <si>
    <t>FICHE PATIENT - Vue Détaillée par Location</t>
  </si>
  <si>
    <t>📋 GUIDE FICHE PATIENT</t>
  </si>
  <si>
    <t>Sélectionner Location:</t>
  </si>
  <si>
    <t>← Sélectionner Patient + Équipement pour voir la fiche</t>
  </si>
  <si>
    <t>1. Sélectionner une location dans la liste</t>
  </si>
  <si>
    <t>2. Toutes les infos se mettent à jour</t>
  </si>
  <si>
    <t>3. Vue complète patient + équipement</t>
  </si>
  <si>
    <t>📊 SECTIONS:</t>
  </si>
  <si>
    <t>═══ INFORMATIONS PERSONNELLES ═══</t>
  </si>
  <si>
    <t>• Infos personnelles</t>
  </si>
  <si>
    <t>• Contacts</t>
  </si>
  <si>
    <t>Patient ID:</t>
  </si>
  <si>
    <t>• Infos médicales</t>
  </si>
  <si>
    <t>Nom complet:</t>
  </si>
  <si>
    <t>• Équipement loué</t>
  </si>
  <si>
    <t>CIN:</t>
  </si>
  <si>
    <t>• Résumé paiements</t>
  </si>
  <si>
    <t>Date naissance:</t>
  </si>
  <si>
    <t>• Historique détaillé (20 périodes max)</t>
  </si>
  <si>
    <t>Région:</t>
  </si>
  <si>
    <t>Délégation:</t>
  </si>
  <si>
    <t>🔧 HISTORIQUE PAIEMENTS ELITE V3:</t>
  </si>
  <si>
    <t>Adresse:</t>
  </si>
  <si>
    <t>• Affiche toutes les périodes de paiement</t>
  </si>
  <si>
    <t>• Période 1, 2, 3... dans l'ordre</t>
  </si>
  <si>
    <t>═══ CONTACTS ═══</t>
  </si>
  <si>
    <t>• Montant calculé automatiquement</t>
  </si>
  <si>
    <t>• Gap = retard/avance en jours</t>
  </si>
  <si>
    <t>Téléphone 1:</t>
  </si>
  <si>
    <t>• Formules LOOKUP ultra-compatibles</t>
  </si>
  <si>
    <t>Téléphone 2:</t>
  </si>
  <si>
    <t>✅ NOUVELLE FORMULE V3:</t>
  </si>
  <si>
    <t>═══ INFORMATIONS MÉDICALES ═══</t>
  </si>
  <si>
    <t>• LOOKUP + COUNTIFS combinés</t>
  </si>
  <si>
    <t>Médecin traitant:</t>
  </si>
  <si>
    <t>• Performance optimisée</t>
  </si>
  <si>
    <t>Type assurance:</t>
  </si>
  <si>
    <t>N° Affiliation:</t>
  </si>
  <si>
    <t>⚠️ SI VIDE:</t>
  </si>
  <si>
    <t>• Vérifier qu'il y a des paiements</t>
  </si>
  <si>
    <t xml:space="preserve">  dans DB_Paiements pour cette location</t>
  </si>
  <si>
    <t>═══ ÉQUIPEMENT DE CETTE LOCATION ═══</t>
  </si>
  <si>
    <t>• Vérifier Format: LOC0001, Période: 1,2,3...</t>
  </si>
  <si>
    <t>Location ID:</t>
  </si>
  <si>
    <t>💡 ASTUCE:</t>
  </si>
  <si>
    <t>Équipement:</t>
  </si>
  <si>
    <t>Imprimez cette fiche pour:</t>
  </si>
  <si>
    <t>Modèle:</t>
  </si>
  <si>
    <t>• Visite technique</t>
  </si>
  <si>
    <t>N° Série:</t>
  </si>
  <si>
    <t>• Rendez-vous patient</t>
  </si>
  <si>
    <t>Technicien:</t>
  </si>
  <si>
    <t>• Suivi administratif</t>
  </si>
  <si>
    <t>Superviseur:</t>
  </si>
  <si>
    <t>Date installation:</t>
  </si>
  <si>
    <t>Montant mensuel:</t>
  </si>
  <si>
    <t>═══ RÉSUMÉ PAIEMENTS ═══</t>
  </si>
  <si>
    <t>Nombre de paiements:</t>
  </si>
  <si>
    <t>Total payé:</t>
  </si>
  <si>
    <t>Total retards:</t>
  </si>
  <si>
    <t>═══ HISTORIQUE DES PAIEMENTS ═══</t>
  </si>
  <si>
    <t>Période</t>
  </si>
  <si>
    <t>Date Début</t>
  </si>
  <si>
    <t>Date Fin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</si>
  <si>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</si>
  <si>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</si>
  <si>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</si>
  <si>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</si>
  <si>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</si>
  <si>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</si>
  <si>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</si>
  <si>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</si>
  <si>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</si>
  <si>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</si>
  <si>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</si>
  <si>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</si>
  <si>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</si>
  <si>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</si>
  <si>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</si>
  <si>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</si>
  <si>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</si>
  <si>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</si>
  <si>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</si>
  <si>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</si>
  <si>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FERJENI FRADJ</t>
  </si>
  <si>
    <t>SOUSSE</t>
  </si>
  <si>
    <t>BOUFICHA</t>
  </si>
  <si>
    <t>SIDI SAID</t>
  </si>
  <si>
    <t>FRADJ</t>
  </si>
  <si>
    <t>NEJIB FILS</t>
  </si>
  <si>
    <t>ACTIF</t>
  </si>
  <si>
    <t>Mq date de naissance + num de serie des appareils</t>
  </si>
  <si>
    <t>DOUIB MED BEN HASSEN</t>
  </si>
  <si>
    <t>KAIRAOUEN</t>
  </si>
  <si>
    <t>SBIKHA</t>
  </si>
  <si>
    <t>SOFIENNE</t>
  </si>
  <si>
    <t>Mq date de naissance+ num de serie des appareils</t>
  </si>
  <si>
    <t>LOUATI SALEM</t>
  </si>
  <si>
    <t>HAMMEM SOUSSE</t>
  </si>
  <si>
    <t>JALLED SELMA</t>
  </si>
  <si>
    <t>MONASTIR</t>
  </si>
  <si>
    <t>SAYEDA</t>
  </si>
  <si>
    <t>22 583  894</t>
  </si>
  <si>
    <t>LEBHAYER</t>
  </si>
  <si>
    <t>Mq date de naissance+ 2eme num + num de serie des appareils</t>
  </si>
  <si>
    <t>PAT0006</t>
  </si>
  <si>
    <t>CITE ERRIADH</t>
  </si>
  <si>
    <t>PAT0007</t>
  </si>
  <si>
    <t>ZERGUIN FATHI</t>
  </si>
  <si>
    <t>SIDI ABDELHAMID</t>
  </si>
  <si>
    <t>PAT0008</t>
  </si>
  <si>
    <t>GHODBHANE BECHIRA</t>
  </si>
  <si>
    <t>SIDI BOU ALI</t>
  </si>
  <si>
    <t>12 EL KHARROUBA</t>
  </si>
  <si>
    <t>LEILA</t>
  </si>
  <si>
    <t>PAT0009</t>
  </si>
  <si>
    <t>NABEUL</t>
  </si>
  <si>
    <t>PAT0010</t>
  </si>
  <si>
    <t>ENFIDHA</t>
  </si>
  <si>
    <t xml:space="preserve">Mq date de naissance </t>
  </si>
  <si>
    <t>PAT0011</t>
  </si>
  <si>
    <t>BEN AHMED SALEH</t>
  </si>
  <si>
    <t>MSAKEN</t>
  </si>
  <si>
    <t>PAT0012</t>
  </si>
  <si>
    <t>JAWHAR BOUKADIDA</t>
  </si>
  <si>
    <t>GRATUIT</t>
  </si>
  <si>
    <t>PAT0013</t>
  </si>
  <si>
    <t>MOUSSA MOKTHAR</t>
  </si>
  <si>
    <t>MAHDIA</t>
  </si>
  <si>
    <t>KSSOUR ESSEF</t>
  </si>
  <si>
    <t>PAT0014</t>
  </si>
  <si>
    <t>MISSAOUI HABIBA</t>
  </si>
  <si>
    <t>PAT0015</t>
  </si>
  <si>
    <t>HAMDI</t>
  </si>
  <si>
    <t>SA FILLE</t>
  </si>
  <si>
    <t>PAT0016</t>
  </si>
  <si>
    <t>PAT0017</t>
  </si>
  <si>
    <t>PAT0018</t>
  </si>
  <si>
    <t>PAT0019</t>
  </si>
  <si>
    <t>PAT0020</t>
  </si>
  <si>
    <t>PAT0021</t>
  </si>
  <si>
    <t>PAT0022</t>
  </si>
  <si>
    <t>PAT0023</t>
  </si>
  <si>
    <t>PAT0024</t>
  </si>
  <si>
    <t>PAT0025</t>
  </si>
  <si>
    <t>PAT0026</t>
  </si>
  <si>
    <t>PAT0027</t>
  </si>
  <si>
    <t>PAT0028</t>
  </si>
  <si>
    <t>PAT0029</t>
  </si>
  <si>
    <t>PAT0030</t>
  </si>
  <si>
    <t>PAT0031</t>
  </si>
  <si>
    <t>PAT0032</t>
  </si>
  <si>
    <t>PAT0033</t>
  </si>
  <si>
    <t>PAT0034</t>
  </si>
  <si>
    <t>PAT0035</t>
  </si>
  <si>
    <t>PAT0036</t>
  </si>
  <si>
    <t>PAT0037</t>
  </si>
  <si>
    <t>PAT0038</t>
  </si>
  <si>
    <t>PAT0039</t>
  </si>
  <si>
    <t>PAT0040</t>
  </si>
  <si>
    <t>PAT0041</t>
  </si>
  <si>
    <t>PAT0042</t>
  </si>
  <si>
    <t>PAT0043</t>
  </si>
  <si>
    <t>PAT0044</t>
  </si>
  <si>
    <t>PAT0045</t>
  </si>
  <si>
    <t>PAT0046</t>
  </si>
  <si>
    <t>PAT0047</t>
  </si>
  <si>
    <t>PAT0048</t>
  </si>
  <si>
    <t>PAT0049</t>
  </si>
  <si>
    <t>PAT0050</t>
  </si>
  <si>
    <t>PAT0051</t>
  </si>
  <si>
    <t>PAT0052</t>
  </si>
  <si>
    <t>PAT0053</t>
  </si>
  <si>
    <t>PAT0054</t>
  </si>
  <si>
    <t>PAT0055</t>
  </si>
  <si>
    <t>PAT0056</t>
  </si>
  <si>
    <t>PAT0057</t>
  </si>
  <si>
    <t>PAT0058</t>
  </si>
  <si>
    <t>PAT0059</t>
  </si>
  <si>
    <t>PAT0060</t>
  </si>
  <si>
    <t>PAT0061</t>
  </si>
  <si>
    <t>PAT0062</t>
  </si>
  <si>
    <t>PAT0063</t>
  </si>
  <si>
    <t>PAT0064</t>
  </si>
  <si>
    <t>PAT0065</t>
  </si>
  <si>
    <t>PAT0066</t>
  </si>
  <si>
    <t>PAT0067</t>
  </si>
  <si>
    <t>PAT0068</t>
  </si>
  <si>
    <t>PAT0069</t>
  </si>
  <si>
    <t>PAT0070</t>
  </si>
  <si>
    <t>PAT0071</t>
  </si>
  <si>
    <t>PAT0072</t>
  </si>
  <si>
    <t>PAT0073</t>
  </si>
  <si>
    <t>PAT0074</t>
  </si>
  <si>
    <t>PAT0075</t>
  </si>
  <si>
    <t>PAT0076</t>
  </si>
  <si>
    <t>PAT0077</t>
  </si>
  <si>
    <t>PAT0078</t>
  </si>
  <si>
    <t>PAT0079</t>
  </si>
  <si>
    <t>PAT0080</t>
  </si>
  <si>
    <t>PAT0081</t>
  </si>
  <si>
    <t>PAT0082</t>
  </si>
  <si>
    <t>PAT0083</t>
  </si>
  <si>
    <t>PAT0084</t>
  </si>
  <si>
    <t>PAT0085</t>
  </si>
  <si>
    <t>PAT0086</t>
  </si>
  <si>
    <t>PAT0087</t>
  </si>
  <si>
    <t>PAT0088</t>
  </si>
  <si>
    <t>PAT0089</t>
  </si>
  <si>
    <t>PAT0090</t>
  </si>
  <si>
    <t>PAT0091</t>
  </si>
  <si>
    <t>PAT0092</t>
  </si>
  <si>
    <t>PAT0093</t>
  </si>
  <si>
    <t>PAT0094</t>
  </si>
  <si>
    <t>PAT0095</t>
  </si>
  <si>
    <t>PAT0096</t>
  </si>
  <si>
    <t>PAT0097</t>
  </si>
  <si>
    <t>PAT0098</t>
  </si>
  <si>
    <t>PAT0099</t>
  </si>
  <si>
    <t>PAT0100</t>
  </si>
  <si>
    <t>PAT0101</t>
  </si>
  <si>
    <t>PAT0102</t>
  </si>
  <si>
    <t>PAT0103</t>
  </si>
  <si>
    <t>PAT0104</t>
  </si>
  <si>
    <t>PAT0105</t>
  </si>
  <si>
    <t>PAT0106</t>
  </si>
  <si>
    <t>PAT0107</t>
  </si>
  <si>
    <t>PAT0108</t>
  </si>
  <si>
    <t>PAT0109</t>
  </si>
  <si>
    <t>PAT0110</t>
  </si>
  <si>
    <t>PAT0111</t>
  </si>
  <si>
    <t>PAT0112</t>
  </si>
  <si>
    <t>PAT0113</t>
  </si>
  <si>
    <t>PAT0114</t>
  </si>
  <si>
    <t>PAT0115</t>
  </si>
  <si>
    <t>PAT0116</t>
  </si>
  <si>
    <t>PAT0117</t>
  </si>
  <si>
    <t>PAT0118</t>
  </si>
  <si>
    <t>PAT0119</t>
  </si>
  <si>
    <t>PAT0120</t>
  </si>
  <si>
    <t>PAT0121</t>
  </si>
  <si>
    <t>PAT0122</t>
  </si>
  <si>
    <t>PAT0123</t>
  </si>
  <si>
    <t>PAT0124</t>
  </si>
  <si>
    <t>PAT0125</t>
  </si>
  <si>
    <t>PAT0126</t>
  </si>
  <si>
    <t>PAT0127</t>
  </si>
  <si>
    <t>PAT0128</t>
  </si>
  <si>
    <t>PAT0129</t>
  </si>
  <si>
    <t>PAT0130</t>
  </si>
  <si>
    <t>PAT0131</t>
  </si>
  <si>
    <t>PAT0132</t>
  </si>
  <si>
    <t>PAT0133</t>
  </si>
  <si>
    <t>PAT0134</t>
  </si>
  <si>
    <t>PAT0135</t>
  </si>
  <si>
    <t>PAT0136</t>
  </si>
  <si>
    <t>PAT0137</t>
  </si>
  <si>
    <t>PAT0138</t>
  </si>
  <si>
    <t>PAT0139</t>
  </si>
  <si>
    <t>PAT0140</t>
  </si>
  <si>
    <t>PAT0141</t>
  </si>
  <si>
    <t>PAT0142</t>
  </si>
  <si>
    <t>PAT0143</t>
  </si>
  <si>
    <t>PAT0144</t>
  </si>
  <si>
    <t>PAT0145</t>
  </si>
  <si>
    <t>PAT0146</t>
  </si>
  <si>
    <t>PAT0147</t>
  </si>
  <si>
    <t>PAT0148</t>
  </si>
  <si>
    <t>PAT0149</t>
  </si>
  <si>
    <t>PAT0150</t>
  </si>
  <si>
    <t>PAT0151</t>
  </si>
  <si>
    <t>PAT0152</t>
  </si>
  <si>
    <t>PAT0153</t>
  </si>
  <si>
    <t>PAT0154</t>
  </si>
  <si>
    <t>PAT0155</t>
  </si>
  <si>
    <t>PAT0156</t>
  </si>
  <si>
    <t>PAT0157</t>
  </si>
  <si>
    <t>PAT0158</t>
  </si>
  <si>
    <t>PAT0159</t>
  </si>
  <si>
    <t>PAT0160</t>
  </si>
  <si>
    <t>PAT0161</t>
  </si>
  <si>
    <t>PAT0162</t>
  </si>
  <si>
    <t>PAT0163</t>
  </si>
  <si>
    <t>PAT0164</t>
  </si>
  <si>
    <t>PAT0165</t>
  </si>
  <si>
    <t>PAT0166</t>
  </si>
  <si>
    <t>PAT0167</t>
  </si>
  <si>
    <t>PAT0168</t>
  </si>
  <si>
    <t>PAT0169</t>
  </si>
  <si>
    <t>PAT0170</t>
  </si>
  <si>
    <t>PAT0171</t>
  </si>
  <si>
    <t>PAT0172</t>
  </si>
  <si>
    <t>PAT0173</t>
  </si>
  <si>
    <t>PAT0174</t>
  </si>
  <si>
    <t>PAT0175</t>
  </si>
  <si>
    <t>PAT0176</t>
  </si>
  <si>
    <t>PAT0177</t>
  </si>
  <si>
    <t>PAT0178</t>
  </si>
  <si>
    <t>PAT0179</t>
  </si>
  <si>
    <t>PAT0180</t>
  </si>
  <si>
    <t>PAT0181</t>
  </si>
  <si>
    <t>PAT0182</t>
  </si>
  <si>
    <t>PAT0183</t>
  </si>
  <si>
    <t>PAT0184</t>
  </si>
  <si>
    <t>PAT0185</t>
  </si>
  <si>
    <t>PAT0186</t>
  </si>
  <si>
    <t>PAT0187</t>
  </si>
  <si>
    <t>PAT0188</t>
  </si>
  <si>
    <t>PAT0189</t>
  </si>
  <si>
    <t>PAT0190</t>
  </si>
  <si>
    <t>PAT0191</t>
  </si>
  <si>
    <t>PAT0192</t>
  </si>
  <si>
    <t>PAT0193</t>
  </si>
  <si>
    <t>PAT0194</t>
  </si>
  <si>
    <t>PAT0195</t>
  </si>
  <si>
    <t>PAT0196</t>
  </si>
  <si>
    <t>PAT0197</t>
  </si>
  <si>
    <t>PAT0198</t>
  </si>
  <si>
    <t>PAT0199</t>
  </si>
  <si>
    <t>PAT0200</t>
  </si>
  <si>
    <t>PAT0201</t>
  </si>
  <si>
    <t>PAT0202</t>
  </si>
  <si>
    <t>PAT0203</t>
  </si>
  <si>
    <t>PAT0204</t>
  </si>
  <si>
    <t>PAT0205</t>
  </si>
  <si>
    <t>PAT0206</t>
  </si>
  <si>
    <t>PAT0207</t>
  </si>
  <si>
    <t>PAT0208</t>
  </si>
  <si>
    <t>PAT0209</t>
  </si>
  <si>
    <t>PAT0210</t>
  </si>
  <si>
    <t>PAT0211</t>
  </si>
  <si>
    <t>PAT0212</t>
  </si>
  <si>
    <t>PAT0213</t>
  </si>
  <si>
    <t>PAT0214</t>
  </si>
  <si>
    <t>PAT0215</t>
  </si>
  <si>
    <t>PAT0216</t>
  </si>
  <si>
    <t>PAT0217</t>
  </si>
  <si>
    <t>PAT0218</t>
  </si>
  <si>
    <t>PAT0219</t>
  </si>
  <si>
    <t>PAT0220</t>
  </si>
  <si>
    <t>PAT0221</t>
  </si>
  <si>
    <t>PAT0222</t>
  </si>
  <si>
    <t>PAT0223</t>
  </si>
  <si>
    <t>PAT0224</t>
  </si>
  <si>
    <t>PAT0225</t>
  </si>
  <si>
    <t>PAT0226</t>
  </si>
  <si>
    <t>PAT0227</t>
  </si>
  <si>
    <t>PAT0228</t>
  </si>
  <si>
    <t>PAT0229</t>
  </si>
  <si>
    <t>PAT0230</t>
  </si>
  <si>
    <t>PAT0231</t>
  </si>
  <si>
    <t>PAT0232</t>
  </si>
  <si>
    <t>PAT0233</t>
  </si>
  <si>
    <t>PAT0234</t>
  </si>
  <si>
    <t>PAT0235</t>
  </si>
  <si>
    <t>PAT0236</t>
  </si>
  <si>
    <t>PAT0237</t>
  </si>
  <si>
    <t>PAT0238</t>
  </si>
  <si>
    <t>PAT0239</t>
  </si>
  <si>
    <t>PAT0240</t>
  </si>
  <si>
    <t>PAT0241</t>
  </si>
  <si>
    <t>PAT0242</t>
  </si>
  <si>
    <t>PAT0243</t>
  </si>
  <si>
    <t>PAT0244</t>
  </si>
  <si>
    <t>PAT0245</t>
  </si>
  <si>
    <t>PAT0246</t>
  </si>
  <si>
    <t>PAT0247</t>
  </si>
  <si>
    <t>PAT0248</t>
  </si>
  <si>
    <t>PAT0249</t>
  </si>
  <si>
    <t>PAT0250</t>
  </si>
  <si>
    <t>PAT0251</t>
  </si>
  <si>
    <t>PAT0252</t>
  </si>
  <si>
    <t>PAT0253</t>
  </si>
  <si>
    <t>PAT0254</t>
  </si>
  <si>
    <t>PAT0255</t>
  </si>
  <si>
    <t>PAT0256</t>
  </si>
  <si>
    <t>PAT0257</t>
  </si>
  <si>
    <t>PAT0258</t>
  </si>
  <si>
    <t>PAT0259</t>
  </si>
  <si>
    <t>PAT0260</t>
  </si>
  <si>
    <t>CHAIEB SALEH</t>
  </si>
  <si>
    <t>N°02015385</t>
  </si>
  <si>
    <t>N°02827820</t>
  </si>
  <si>
    <t>N°01864316</t>
  </si>
  <si>
    <t>N°05509009</t>
  </si>
  <si>
    <t>N°04467048</t>
  </si>
  <si>
    <t>N°02916060</t>
  </si>
  <si>
    <t>N°06317005</t>
  </si>
  <si>
    <t>N°09271196</t>
  </si>
  <si>
    <t>N°02852622</t>
  </si>
  <si>
    <t>N°05699823</t>
  </si>
  <si>
    <t>N°04276488</t>
  </si>
  <si>
    <t>KONDAR ( dar jam3ia )</t>
  </si>
  <si>
    <t>N°08351409</t>
  </si>
  <si>
    <t>BRAHIM HALIMA</t>
  </si>
  <si>
    <t>SIDI HENI</t>
  </si>
  <si>
    <t>AWLED BEL HENI 4025</t>
  </si>
  <si>
    <t>N°84780412/8</t>
  </si>
  <si>
    <t>N°02980604</t>
  </si>
  <si>
    <t>KALAA SGHIRA</t>
  </si>
  <si>
    <t>Affiliation</t>
  </si>
  <si>
    <t>N°11490337/4</t>
  </si>
  <si>
    <t>N°526854/0</t>
  </si>
  <si>
    <t>N°13061250/50</t>
  </si>
  <si>
    <t>N°924807/00</t>
  </si>
  <si>
    <t>N°66332640/40</t>
  </si>
  <si>
    <t>N°8167805103/03</t>
  </si>
  <si>
    <t>N°11059494/06</t>
  </si>
  <si>
    <t>ZAOUI MBARKA</t>
  </si>
  <si>
    <t>N°03123245</t>
  </si>
  <si>
    <t>SAHLOUL</t>
  </si>
  <si>
    <t>N°11012575/07</t>
  </si>
  <si>
    <t>JAIDI HOURIA</t>
  </si>
  <si>
    <t>ZBIBA MAHMOUD BEN MHAMED</t>
  </si>
  <si>
    <t>JEAN CLAUDE</t>
  </si>
  <si>
    <t>AISSAOUI MOEZ</t>
  </si>
  <si>
    <t>LAFI AMOR</t>
  </si>
  <si>
    <t>CHATBERI ALI</t>
  </si>
  <si>
    <t>HABIB SMIDA</t>
  </si>
  <si>
    <t>BRAHEM KAMEL</t>
  </si>
  <si>
    <t>B SAAD AMMAR</t>
  </si>
  <si>
    <t>MARNAOUI HABIB</t>
  </si>
  <si>
    <t>BEN ALI NAIMA</t>
  </si>
  <si>
    <t>KITAR AICHA</t>
  </si>
  <si>
    <t>BORJI NAJIB</t>
  </si>
  <si>
    <t>ADHIMI SALHA</t>
  </si>
  <si>
    <t>HAMILA SALEM</t>
  </si>
  <si>
    <t>MOUSSA ZOHRA</t>
  </si>
  <si>
    <t>BEN SLIMANE RIDHA</t>
  </si>
  <si>
    <t>N°01668252</t>
  </si>
  <si>
    <t>KORBAA</t>
  </si>
  <si>
    <t>20 RUE ARAFET ROMANIA 2</t>
  </si>
  <si>
    <t>N°04417664</t>
  </si>
  <si>
    <t xml:space="preserve">368 RUE DE LA REPUBLIQUE 4031   </t>
  </si>
  <si>
    <t>N°02817538</t>
  </si>
  <si>
    <t>SALHI ALI</t>
  </si>
  <si>
    <t>N°02021535</t>
  </si>
  <si>
    <t>MESSADINE</t>
  </si>
  <si>
    <t>ALI</t>
  </si>
  <si>
    <t>OUSSEMA</t>
  </si>
  <si>
    <t>KALAA KBIRA</t>
  </si>
  <si>
    <t>N°11568009/4</t>
  </si>
  <si>
    <t>MHADHBI GHZELLA</t>
  </si>
  <si>
    <t>N°02871334</t>
  </si>
  <si>
    <t>54 SIDI SAID BOUFICHA 4010</t>
  </si>
  <si>
    <t>NOUREDDINE</t>
  </si>
  <si>
    <t>N°507193/01</t>
  </si>
  <si>
    <t>ZAGHDENE MOUNIR</t>
  </si>
  <si>
    <t>N°01628354</t>
  </si>
  <si>
    <t xml:space="preserve">RUE EL FIGEL </t>
  </si>
  <si>
    <t>SA FEMME</t>
  </si>
  <si>
    <t>MOUNIR</t>
  </si>
  <si>
    <t>N°04366454</t>
  </si>
  <si>
    <t>56 CITE ERRIADH BOUFICHA 4010</t>
  </si>
  <si>
    <t>N°04020772</t>
  </si>
  <si>
    <t>BEKALTA</t>
  </si>
  <si>
    <t>RUE JEDDA 8070 (en face sts police boulaabaa)</t>
  </si>
  <si>
    <t>GHILOUFI MOHAMED AMMAR</t>
  </si>
  <si>
    <t>N°02946343</t>
  </si>
  <si>
    <t>GHOULIF 4030</t>
  </si>
  <si>
    <t>IBTISSEM</t>
  </si>
  <si>
    <t>BASSMA</t>
  </si>
  <si>
    <t>CITE ERRIADH ( pres carrefour )</t>
  </si>
  <si>
    <t>ESPECE</t>
  </si>
  <si>
    <t>N°09432778</t>
  </si>
  <si>
    <t>N°765543/0</t>
  </si>
  <si>
    <t>BAKLOUTI ABDALLAH</t>
  </si>
  <si>
    <t>N°02834834</t>
  </si>
  <si>
    <t>N°02940791</t>
  </si>
  <si>
    <t>RUE DE LA REPUBLIQUE 4021</t>
  </si>
  <si>
    <t>HASSAN</t>
  </si>
  <si>
    <t>BEN AHMED HASSAN</t>
  </si>
  <si>
    <t>N°05530788</t>
  </si>
  <si>
    <t>EL MTHALITH</t>
  </si>
  <si>
    <t>FATHI</t>
  </si>
  <si>
    <t>N°1022356/0</t>
  </si>
  <si>
    <t>BEN MANSOUR MOHAMED</t>
  </si>
  <si>
    <t>N°06431002</t>
  </si>
  <si>
    <t>CHEBBA</t>
  </si>
  <si>
    <t>N°1297394/0</t>
  </si>
  <si>
    <t>AMEL</t>
  </si>
  <si>
    <t>N°09255188</t>
  </si>
  <si>
    <t>N°17452093/02</t>
  </si>
  <si>
    <t>N°04310037</t>
  </si>
  <si>
    <t>TAFFELA</t>
  </si>
  <si>
    <t>CITE CHOFRANE RUE 3032 TAFFELA 4000 SOUSSE MEDIANA</t>
  </si>
  <si>
    <t>N°42237593/01</t>
  </si>
  <si>
    <t>N°02805495</t>
  </si>
  <si>
    <t>BOUHSSINA</t>
  </si>
  <si>
    <t>N°331737/0</t>
  </si>
  <si>
    <t>N°08433170</t>
  </si>
  <si>
    <t>N°30373124/24</t>
  </si>
  <si>
    <t>N°04312290</t>
  </si>
  <si>
    <t>N°50911922/2</t>
  </si>
  <si>
    <t>N°08430790</t>
  </si>
  <si>
    <t>N°01367880</t>
  </si>
  <si>
    <t>MANZEL BOURGUIBA</t>
  </si>
  <si>
    <t>BOUKHRISS AMEUR</t>
  </si>
  <si>
    <t>N°01388669</t>
  </si>
  <si>
    <t>N°01506457</t>
  </si>
  <si>
    <t>N°874546/00</t>
  </si>
  <si>
    <t>OTHMEN FITOURI</t>
  </si>
  <si>
    <t>N°03819555</t>
  </si>
  <si>
    <t>TLELSA ROUTE EL JEM</t>
  </si>
  <si>
    <t>TLELSSA</t>
  </si>
  <si>
    <t>BOUAZZA KAMEL</t>
  </si>
  <si>
    <t>N°02945589</t>
  </si>
  <si>
    <t>N°45039961/2</t>
  </si>
  <si>
    <t>RETOUR</t>
  </si>
  <si>
    <t>N°05544943</t>
  </si>
  <si>
    <t>N°385856/0</t>
  </si>
  <si>
    <t>ZAYANI WASSILA</t>
  </si>
  <si>
    <t>MOUREDDINE</t>
  </si>
  <si>
    <t>AHLEM</t>
  </si>
  <si>
    <t>N°02902670</t>
  </si>
  <si>
    <t>AKOUDA</t>
  </si>
  <si>
    <t>N°02899009</t>
  </si>
  <si>
    <t>N°02814605</t>
  </si>
  <si>
    <t>N°12075991/91</t>
  </si>
  <si>
    <t>N°44082823/1</t>
  </si>
  <si>
    <t>BELLOTF NAJOUA</t>
  </si>
  <si>
    <t>N°00838620</t>
  </si>
  <si>
    <t>TUNIS</t>
  </si>
  <si>
    <t xml:space="preserve">IMMEUBLE BNA EL FAHES / MANZAH 5 </t>
  </si>
  <si>
    <t>RETOUR LE 07/08/2025 ( OXY + VNI ) ( karim)</t>
  </si>
  <si>
    <t>CHATT MARIEM</t>
  </si>
  <si>
    <t xml:space="preserve">TOUMI FRADJ </t>
  </si>
  <si>
    <t>N°02896827</t>
  </si>
  <si>
    <t>MHEDHBA CHARKIA 4040</t>
  </si>
  <si>
    <t>N°01054536/00</t>
  </si>
  <si>
    <t xml:space="preserve"> N°02870976</t>
  </si>
  <si>
    <t>KALAA KBIRA  (pharmacie de nuit)</t>
  </si>
  <si>
    <t>N°02664667</t>
  </si>
  <si>
    <t>CITE EZZOUHOUR</t>
  </si>
  <si>
    <t>JALILA</t>
  </si>
  <si>
    <t>N°12296859/02</t>
  </si>
  <si>
    <t>N°06768396</t>
  </si>
  <si>
    <t>OUARDANINE</t>
  </si>
  <si>
    <t>N°01604785/00</t>
  </si>
  <si>
    <t>N°07473878</t>
  </si>
  <si>
    <t>CITE MANAR</t>
  </si>
  <si>
    <t>HAMILA FAKHRI</t>
  </si>
  <si>
    <t>N°07366176</t>
  </si>
  <si>
    <t>BEL HADJ SAID LEILA</t>
  </si>
  <si>
    <t>N°05557051</t>
  </si>
  <si>
    <t>HERGLA ( ribat )</t>
  </si>
  <si>
    <t>N°17148761/07</t>
  </si>
  <si>
    <t>N°09649145</t>
  </si>
  <si>
    <t>RUE 9 AVRIL 1938 ZAGHOUAN 1100 (ZAGHOUAN OU BOUFICHA)</t>
  </si>
  <si>
    <t>RIDHA</t>
  </si>
  <si>
    <t>N°55735535/06</t>
  </si>
  <si>
    <t>Patient ID</t>
  </si>
  <si>
    <t>Nom Complet</t>
  </si>
  <si>
    <t>Date Naissance</t>
  </si>
  <si>
    <t>GRATUIT ( patient ahmed )</t>
  </si>
  <si>
    <t>ZRELLI FATOUM</t>
  </si>
  <si>
    <t>N°02859879</t>
  </si>
  <si>
    <t>N°03908974</t>
  </si>
  <si>
    <t>N°04003516</t>
  </si>
  <si>
    <t>N°02923337</t>
  </si>
  <si>
    <t>N°04063064</t>
  </si>
  <si>
    <t>N°02839166</t>
  </si>
  <si>
    <t>N°02853880</t>
  </si>
  <si>
    <t>N°02833008</t>
  </si>
  <si>
    <t>N°02908031</t>
  </si>
  <si>
    <t>NAILI SELEM</t>
  </si>
  <si>
    <t>ABDELOUAHED ABDERRAZEK</t>
  </si>
  <si>
    <t>B MABROUK LAZHAR</t>
  </si>
  <si>
    <t>BOUBAKER FAOUZI</t>
  </si>
  <si>
    <t>SLAH KHELIFA</t>
  </si>
  <si>
    <t>ZEGNANI KHALED</t>
  </si>
  <si>
    <t xml:space="preserve">HERTELLI MALEK </t>
  </si>
  <si>
    <t>HASSIN KADIDA</t>
  </si>
  <si>
    <t>MNED FATMA</t>
  </si>
  <si>
    <t>N°310055/0</t>
  </si>
  <si>
    <t>N°591115/00</t>
  </si>
  <si>
    <t>N°11675177/03</t>
  </si>
  <si>
    <t>N°11264398/9</t>
  </si>
  <si>
    <t>N°4082491/00</t>
  </si>
  <si>
    <t>N°18574991/91</t>
  </si>
  <si>
    <t>N°38996727/07</t>
  </si>
  <si>
    <t>N°11151394/2</t>
  </si>
  <si>
    <t>N°2542107/7</t>
  </si>
  <si>
    <t>N°559229/00</t>
  </si>
  <si>
    <t>PATIENT PASSAGER</t>
  </si>
  <si>
    <t>110 RUE HABIB THAMEUR KALAA KEBIRA 4060</t>
  </si>
  <si>
    <t xml:space="preserve"> ROUTE DE MONASTIR OUED HALOUF </t>
  </si>
  <si>
    <t xml:space="preserve">BANNOUR SALAH </t>
  </si>
  <si>
    <t>SAID ZAINEB VVE AMOR</t>
  </si>
  <si>
    <t>HABIB BRAHIM</t>
  </si>
  <si>
    <t xml:space="preserve">CHAHED JALEL </t>
  </si>
  <si>
    <t>FATNASI NAYEB</t>
  </si>
  <si>
    <t>NASR EP BEN DZIRI ELJIA</t>
  </si>
  <si>
    <t>OUESLATI NOUREDDINE</t>
  </si>
  <si>
    <t>MAHJOUB MOHAMED</t>
  </si>
  <si>
    <t>HAMDI ABDELLAH</t>
  </si>
  <si>
    <t>SASSI SOLTAN</t>
  </si>
  <si>
    <t>MKHININI KAMEL</t>
  </si>
  <si>
    <t>ABDERAZZEK BOUASKAR</t>
  </si>
  <si>
    <t xml:space="preserve">OUAJA HEDI </t>
  </si>
  <si>
    <t>KASSAMA MAHBOUBA</t>
  </si>
  <si>
    <t>MAALAOUI NOUREDDINE</t>
  </si>
  <si>
    <t>TURKIA EL AJMI</t>
  </si>
  <si>
    <t>KHLIJ AMEUR</t>
  </si>
  <si>
    <t>CHTIOUI MOHAMED</t>
  </si>
  <si>
    <t>DRIDI MANNOUBI</t>
  </si>
  <si>
    <t>BAYA KOCHBATI</t>
  </si>
  <si>
    <t>MOULDI GHARSSA</t>
  </si>
  <si>
    <t>LOGHMARI NAJIB</t>
  </si>
  <si>
    <t>NAZIHA BEN SALAH</t>
  </si>
  <si>
    <t>HIBOUN</t>
  </si>
  <si>
    <t>SLIMENE NABEUL</t>
  </si>
  <si>
    <t>N°03040013</t>
  </si>
  <si>
    <t>SLIMEN</t>
  </si>
  <si>
    <t>N°01101043/00</t>
  </si>
  <si>
    <t>N°12081143/04</t>
  </si>
  <si>
    <t>N°16220524/03</t>
  </si>
  <si>
    <t>N°01041392/00</t>
  </si>
  <si>
    <t>N°51196532/01</t>
  </si>
  <si>
    <t>N°84756785/7</t>
  </si>
  <si>
    <t>SAMIRA</t>
  </si>
  <si>
    <t>N°02848074</t>
  </si>
  <si>
    <t>N°02982341</t>
  </si>
  <si>
    <t>N°01975438</t>
  </si>
  <si>
    <t>N°02914889</t>
  </si>
  <si>
    <t>N°02819757</t>
  </si>
  <si>
    <t>N°04098240</t>
  </si>
  <si>
    <t>N°02819976</t>
  </si>
  <si>
    <t>N°11492678/78</t>
  </si>
  <si>
    <t xml:space="preserve">HAMMAM SOUSSE ( PRES MOSQUEE ARIAN ) </t>
  </si>
  <si>
    <t>AIDA</t>
  </si>
  <si>
    <t>100 BORJINE</t>
  </si>
  <si>
    <t>N°11715516/07</t>
  </si>
  <si>
    <t>N°04779811</t>
  </si>
  <si>
    <t>ROUTE LEBHAYER</t>
  </si>
  <si>
    <t>AIN KHAZAZIA</t>
  </si>
  <si>
    <t>NAYEB</t>
  </si>
  <si>
    <t>SOUAD</t>
  </si>
  <si>
    <t>N°1222963/0</t>
  </si>
  <si>
    <t>EL JEM</t>
  </si>
  <si>
    <t>N°45043486/0</t>
  </si>
  <si>
    <t>BOUAJILA TAHER</t>
  </si>
  <si>
    <t>N°00353642</t>
  </si>
  <si>
    <t>RUE DE L ENVIRONNEMENT MESSADINE</t>
  </si>
  <si>
    <t>N°1407199612/12</t>
  </si>
  <si>
    <t>N°02862288</t>
  </si>
  <si>
    <t>ABDALLAH FEKIH HABIB</t>
  </si>
  <si>
    <t>MANZEL DAR BELAOUER 4030 ENNFIDHA</t>
  </si>
  <si>
    <t>N°02873329</t>
  </si>
  <si>
    <t>11 RUE EL KHAWAREZMI</t>
  </si>
  <si>
    <t>N°1138323288/88</t>
  </si>
  <si>
    <t>N°00484894</t>
  </si>
  <si>
    <t>MSAKEN ( PRES MOSQUEE EL HAMD )</t>
  </si>
  <si>
    <t>N°11608775/75</t>
  </si>
  <si>
    <t>N°02891509</t>
  </si>
  <si>
    <t>CITE ERRIADH ( PRES CAFEE BAGHDED )</t>
  </si>
  <si>
    <t>AUCUN PAIEMENT DES LE 29/07/2024</t>
  </si>
  <si>
    <t>N°01612903</t>
  </si>
  <si>
    <t>DAR CHAABEN</t>
  </si>
  <si>
    <t>RUE DE GRAND MAGHREB DAR CHAABEN EL FEHRI</t>
  </si>
  <si>
    <t>AOUICHAOUI SALAH</t>
  </si>
  <si>
    <t>N°05027024/00</t>
  </si>
  <si>
    <t>KDEDA ( PRES MAISON SEIF )</t>
  </si>
  <si>
    <t>N°02931934</t>
  </si>
  <si>
    <t>AWLED LASSOUED ROUTE KONDAR</t>
  </si>
  <si>
    <t>JNEN HOUAS</t>
  </si>
  <si>
    <t>20 036 001/95400243</t>
  </si>
  <si>
    <t>ZAOUIA SOUSSE</t>
  </si>
  <si>
    <t>JIHEN</t>
  </si>
  <si>
    <t>SLIM</t>
  </si>
  <si>
    <t>RUE JAMEL ABDEL NACEUR</t>
  </si>
  <si>
    <t>N°05227769/0</t>
  </si>
  <si>
    <t>KHAMMARI AMOR</t>
  </si>
  <si>
    <t>N°01412856</t>
  </si>
  <si>
    <t>N°06490055</t>
  </si>
  <si>
    <t>N°6434827/0</t>
  </si>
  <si>
    <t>AMMAR BEN SAAD RUE TAIEB MHIRI 4060</t>
  </si>
  <si>
    <t>N°01446476</t>
  </si>
  <si>
    <t>ZARZOUNA</t>
  </si>
  <si>
    <t>N°01550550</t>
  </si>
  <si>
    <t>BENI AMOR</t>
  </si>
  <si>
    <t>N°01486071</t>
  </si>
  <si>
    <t xml:space="preserve">157 RUE HAFSA </t>
  </si>
  <si>
    <t>BORJINE</t>
  </si>
  <si>
    <t>RUE LA REPUBLIQUE AKOUDA</t>
  </si>
  <si>
    <t>AV HABIB BOURGUIBA N21 8050 HAMMAMET</t>
  </si>
  <si>
    <t>6 RUE SIKHELIA 5170</t>
  </si>
  <si>
    <t>AV MARECHAL TITO N1 4000 SOUSSE MEDINA ( EN FACE BEB GHARBI )</t>
  </si>
  <si>
    <t>CHATTI MONCEF</t>
  </si>
  <si>
    <t>MSAKEN ( PRES PHARMACIE HACHICHA )</t>
  </si>
  <si>
    <t>SON FILS</t>
  </si>
  <si>
    <t>verificacation appareil</t>
  </si>
  <si>
    <t>Mq num cin + date de naissance+ 2éme numero+ num de derie des appareil</t>
  </si>
  <si>
    <t>mq date de naissance</t>
  </si>
  <si>
    <t>EL FAHS</t>
  </si>
  <si>
    <t>MIRAOUI MARAM AICHA</t>
  </si>
  <si>
    <t>SOUSSE/SIDI BOUZID</t>
  </si>
  <si>
    <t>N°05612445</t>
  </si>
  <si>
    <t>N°38608929/29</t>
  </si>
  <si>
    <t>N°02863145</t>
  </si>
  <si>
    <t>N°02875128</t>
  </si>
  <si>
    <t>N°16128066</t>
  </si>
  <si>
    <t>SALEM</t>
  </si>
  <si>
    <t>KHALIL FILS</t>
  </si>
  <si>
    <t>BOUHSINA</t>
  </si>
  <si>
    <t>AIN GARSSI</t>
  </si>
  <si>
    <t>AKKARI VVE FARHAT AICHA</t>
  </si>
  <si>
    <t>BIZERTE</t>
  </si>
  <si>
    <t>BEN AFIA FREDJ</t>
  </si>
  <si>
    <t>MONJI JERFEL</t>
  </si>
  <si>
    <t>TAHER OTHMANI</t>
  </si>
  <si>
    <t>N°644903/0</t>
  </si>
  <si>
    <t>AYADI NAIMA</t>
  </si>
  <si>
    <t>N°00939845/00</t>
  </si>
  <si>
    <t>N°00895377/00</t>
  </si>
  <si>
    <t>N°00750257/0</t>
  </si>
  <si>
    <t>ZORGATI FATHIA</t>
  </si>
  <si>
    <t>EN FACE BOULANGERIE GHZEL</t>
  </si>
  <si>
    <t>CERTIFICAT D ANDICAP</t>
  </si>
  <si>
    <t>FILS</t>
  </si>
  <si>
    <t xml:space="preserve"> FILS</t>
  </si>
  <si>
    <t>verification cin + appareil</t>
  </si>
  <si>
    <t>N°5042132/00</t>
  </si>
  <si>
    <t>JAZIRI VVE LOUSSAIEF  HABIBA</t>
  </si>
  <si>
    <t>N°6408971/00</t>
  </si>
  <si>
    <t>verificacation appareil + CIN</t>
  </si>
  <si>
    <t>Mq date de naissance + verification appareil + verification cin</t>
  </si>
  <si>
    <t>Mq 2éme num + verification appareils + verification cin</t>
  </si>
  <si>
    <t>N°1212040/00</t>
  </si>
  <si>
    <t>SALAH TAHER</t>
  </si>
  <si>
    <t>MORJENE BECHIRA</t>
  </si>
  <si>
    <t>N°09255108</t>
  </si>
  <si>
    <t>17826206/1</t>
  </si>
  <si>
    <t>RETOUR OXY + VNI LE 15/07/2025</t>
  </si>
  <si>
    <t>ZGOLLI SELMANE</t>
  </si>
  <si>
    <t>N°11130509/8</t>
  </si>
  <si>
    <t>BEN AMEUR ALI</t>
  </si>
  <si>
    <t>HICHERI AJMI</t>
  </si>
  <si>
    <t>N°5100681/81</t>
  </si>
  <si>
    <t>Mq date de naissance+ verification  appareils + cin</t>
  </si>
  <si>
    <t>Mq date de naissance+ verification appareils + cin</t>
  </si>
  <si>
    <t>BRAHIM REGAYA</t>
  </si>
  <si>
    <t>date de naissance + verification appareil + cin</t>
  </si>
  <si>
    <t>CHNITI AMOR</t>
  </si>
  <si>
    <t>PRES  MONOPRIX</t>
  </si>
  <si>
    <t>N°16137217/1</t>
  </si>
  <si>
    <t>Mq 2éme num + num de serie des appareils + verification cin</t>
  </si>
  <si>
    <t xml:space="preserve">FATHI </t>
  </si>
  <si>
    <t>N°17319511/7</t>
  </si>
  <si>
    <t xml:space="preserve"> JEGHAM ASMA</t>
  </si>
  <si>
    <t>BARGUI SALEM</t>
  </si>
  <si>
    <t>HAMI ZOUHAIRA</t>
  </si>
  <si>
    <t xml:space="preserve"> date de naissance + 2éme numero + verification  appareil</t>
  </si>
  <si>
    <t>SLIMANE DHAOU</t>
  </si>
  <si>
    <t>NAHDI ALI</t>
  </si>
  <si>
    <t>TECHNICIEN</t>
  </si>
  <si>
    <t>DJEMILI MOHAMED</t>
  </si>
  <si>
    <t>JOUINI HOUCINE</t>
  </si>
  <si>
    <t>SOUHAIEB</t>
  </si>
  <si>
    <t>N°00514264/00</t>
  </si>
  <si>
    <t>N°00621654/00</t>
  </si>
  <si>
    <t>BOUBAKER ABDELKADER</t>
  </si>
  <si>
    <t>N°01433644</t>
  </si>
  <si>
    <t>LAAZIB</t>
  </si>
  <si>
    <t>LAAZIB BIZERTE</t>
  </si>
  <si>
    <t>PERSONNEL</t>
  </si>
  <si>
    <t>11237814/01</t>
  </si>
  <si>
    <t xml:space="preserve">SAKET MOSTARI </t>
  </si>
  <si>
    <t>N°01466648</t>
  </si>
  <si>
    <t>METLIN LGARYA</t>
  </si>
  <si>
    <t>LGARYA METLIN BIZETRE</t>
  </si>
  <si>
    <t>68009699/06</t>
  </si>
  <si>
    <t>11162244/01</t>
  </si>
  <si>
    <t>HAJRIA MED ATEF</t>
  </si>
  <si>
    <t>N°05633848</t>
  </si>
  <si>
    <t>KSAR KHAROUF</t>
  </si>
  <si>
    <t>KSAR KHAROUF BIZERTE</t>
  </si>
  <si>
    <t>11940916/07</t>
  </si>
  <si>
    <t>N°01467661</t>
  </si>
  <si>
    <t>11207924/01</t>
  </si>
  <si>
    <t>N°01552728</t>
  </si>
  <si>
    <t>AZZOUZI MOHAMED</t>
  </si>
  <si>
    <t>N°01413853</t>
  </si>
  <si>
    <t xml:space="preserve">BIZERTE </t>
  </si>
  <si>
    <t xml:space="preserve">CNAM </t>
  </si>
  <si>
    <t>00489686/30</t>
  </si>
  <si>
    <t xml:space="preserve">MAHOUECHI FARHAT </t>
  </si>
  <si>
    <t>N°01464339</t>
  </si>
  <si>
    <t>18916616/16</t>
  </si>
  <si>
    <t>N°01536194</t>
  </si>
  <si>
    <t>00886298/00</t>
  </si>
  <si>
    <t>90198526 SON FILS ARBI</t>
  </si>
  <si>
    <t xml:space="preserve">20596425 SA FEMME </t>
  </si>
  <si>
    <t>N°00786644/00</t>
  </si>
  <si>
    <t>DATE INSTALLATION : 10/03/2025 -- VNI YUWELL YH830A-V24927015 + MASQUE FACIAL YF-02L -- FIN DE BON DE LOCATION 13/06/2025 -- RDV HOPITAL 24/08/2025 ??</t>
  </si>
  <si>
    <t>SA FILLE AIDA</t>
  </si>
  <si>
    <t>N°00947596/00</t>
  </si>
  <si>
    <t>DATE INSTALLATION 05/04/2025 -- VNI YUWELL *** --- FIN BON LOCATION 03/07/2025 -- DOSSIER DEPOSER 03/08/2025 -- RETOUR OXYGENE FIN DU BON DE LOCATION 03/07/2025</t>
  </si>
  <si>
    <t>DATE INSTALLATION 20/03/2025 -- VNI YUWELL YH-725V23C68012 + YF-02 M REJET CNAM (DEPOT NV DOSSIER OU RETOUR ICI FIN AOUT)</t>
  </si>
  <si>
    <t xml:space="preserve">AHMED SHILI </t>
  </si>
  <si>
    <t>N°05668820</t>
  </si>
  <si>
    <t>ZARZOUNA BIZERTE</t>
  </si>
  <si>
    <t>11632846/05</t>
  </si>
  <si>
    <t>N°01510107</t>
  </si>
  <si>
    <t>00892239/0</t>
  </si>
  <si>
    <t xml:space="preserve">HAMBLI SALOUA </t>
  </si>
  <si>
    <t>N°00904975</t>
  </si>
  <si>
    <t>30/02/1960</t>
  </si>
  <si>
    <t>JBAL JLOUD</t>
  </si>
  <si>
    <t>JBAL JLOUD TUNIS</t>
  </si>
  <si>
    <t>12598323/09</t>
  </si>
  <si>
    <t xml:space="preserve">OUTIQUE CITE EL MANAR BIZERTE </t>
  </si>
  <si>
    <t xml:space="preserve">DATE INSTALLATION : 26/03/2025 -- VNI YUWELL YH-720A-V23C68018 + MASQUE FACIAL YF-01 M </t>
  </si>
  <si>
    <t xml:space="preserve">AIDA GHORBEL </t>
  </si>
  <si>
    <t>N°***</t>
  </si>
  <si>
    <t xml:space="preserve">TUNIS </t>
  </si>
  <si>
    <t>BOUMHAL</t>
  </si>
  <si>
    <t>BOUMHAL TUNIS</t>
  </si>
  <si>
    <t>SON MARI</t>
  </si>
  <si>
    <t>SA SŒUR</t>
  </si>
  <si>
    <t>ESPECE / CNAM</t>
  </si>
  <si>
    <t>***</t>
  </si>
  <si>
    <t>DATE INSTALLATION :  **** --- VNI : DEVILBISS *** PAYER 1 MOIS 450 DT -- DOSSIER CNAM DEPOSER 05/06/2025 --- COMPLEMENT DE PIECES EN ATTENTE</t>
  </si>
  <si>
    <t>CONCENTRATEUR O2 5L -- FIN DE BON DE LOCATION 27/06/2025</t>
  </si>
  <si>
    <t>BILEL</t>
  </si>
  <si>
    <t>KARIM</t>
  </si>
  <si>
    <t>AHMED</t>
  </si>
  <si>
    <t>Numéro Série</t>
  </si>
  <si>
    <t>Appareil ID</t>
  </si>
  <si>
    <t>CPAP Titration</t>
  </si>
  <si>
    <t>DEVILBISS AUTO</t>
  </si>
  <si>
    <t>HS302732</t>
  </si>
  <si>
    <t>Compteur</t>
  </si>
  <si>
    <t>2533,3 h</t>
  </si>
  <si>
    <t>DEVILBISS STANDARS PLUS</t>
  </si>
  <si>
    <t>JS020895</t>
  </si>
  <si>
    <t>4653,1 h</t>
  </si>
  <si>
    <t>DEVILBISS STANDARD PLUS</t>
  </si>
  <si>
    <t>JS018698</t>
  </si>
  <si>
    <t>6441,3 h</t>
  </si>
  <si>
    <t>RESMED (S10) AUTO</t>
  </si>
  <si>
    <t>2238 h</t>
  </si>
  <si>
    <t xml:space="preserve">CPAP </t>
  </si>
  <si>
    <t>ISLEEP20</t>
  </si>
  <si>
    <t>C240918</t>
  </si>
  <si>
    <t>En panne</t>
  </si>
  <si>
    <t>****</t>
  </si>
  <si>
    <t>APP0006</t>
  </si>
  <si>
    <t>APP0007</t>
  </si>
  <si>
    <t>APP0008</t>
  </si>
  <si>
    <t>APP0009</t>
  </si>
  <si>
    <t>APP0010</t>
  </si>
  <si>
    <t>APP0011</t>
  </si>
  <si>
    <t>APP0012</t>
  </si>
  <si>
    <t>APP0013</t>
  </si>
  <si>
    <t>APP0014</t>
  </si>
  <si>
    <t>APP0015</t>
  </si>
  <si>
    <t>STELLAR VI</t>
  </si>
  <si>
    <t>RESMED (S9) + HUMIDIFICATEUR</t>
  </si>
  <si>
    <t>DEVILBISS BLUE AUTO PLUS</t>
  </si>
  <si>
    <t>NE 17207196</t>
  </si>
  <si>
    <t>11,3 h</t>
  </si>
  <si>
    <t>NE 17309011</t>
  </si>
  <si>
    <t>3972,9 h</t>
  </si>
  <si>
    <t>VNI</t>
  </si>
  <si>
    <t>77 h</t>
  </si>
  <si>
    <t>RESMED LUMIS ( 150 )</t>
  </si>
  <si>
    <t>703 h</t>
  </si>
  <si>
    <t>DEVILBISS ST</t>
  </si>
  <si>
    <t>LS204231</t>
  </si>
  <si>
    <t>4892,2 h</t>
  </si>
  <si>
    <t>LS204224</t>
  </si>
  <si>
    <t>11710,8 h</t>
  </si>
  <si>
    <t>YUWELL</t>
  </si>
  <si>
    <t>YH830A-V24927012</t>
  </si>
  <si>
    <t>87,4 h</t>
  </si>
  <si>
    <t>YH830A-V24927009</t>
  </si>
  <si>
    <t>1168,9 h</t>
  </si>
  <si>
    <t>YH720A-V23C68025</t>
  </si>
  <si>
    <t>1303 h</t>
  </si>
  <si>
    <t>RESMED S9</t>
  </si>
  <si>
    <t>DEVILBISS S</t>
  </si>
  <si>
    <t>LS006087</t>
  </si>
  <si>
    <t>LS008810</t>
  </si>
  <si>
    <t>LS204167</t>
  </si>
  <si>
    <t>KS007955</t>
  </si>
  <si>
    <t>APP0016</t>
  </si>
  <si>
    <t>APP0017</t>
  </si>
  <si>
    <t>APP0018</t>
  </si>
  <si>
    <t>APP0019</t>
  </si>
  <si>
    <t>APP0020</t>
  </si>
  <si>
    <t>APP0021</t>
  </si>
  <si>
    <t>APP0022</t>
  </si>
  <si>
    <t>APP0023</t>
  </si>
  <si>
    <t>APP0024</t>
  </si>
  <si>
    <t>APP0025</t>
  </si>
  <si>
    <t>APP0026</t>
  </si>
  <si>
    <t>APP0027</t>
  </si>
  <si>
    <t>APP0028</t>
  </si>
  <si>
    <t>APP0029</t>
  </si>
  <si>
    <t>APP0030</t>
  </si>
  <si>
    <t>APP0031</t>
  </si>
  <si>
    <t>APP0032</t>
  </si>
  <si>
    <t>APP0033</t>
  </si>
  <si>
    <t>CONCENTRATEUR O2</t>
  </si>
  <si>
    <t>INVACARE</t>
  </si>
  <si>
    <t>11ASZ570441</t>
  </si>
  <si>
    <t>INVACARE PLATINUM   ( 5 LITRE )</t>
  </si>
  <si>
    <t>09BSZ461013</t>
  </si>
  <si>
    <t>DEVILBISS   ( 5 LITRE )</t>
  </si>
  <si>
    <t>J756495KS</t>
  </si>
  <si>
    <t>YUWELL 7F-5   ( 5 LITRE )</t>
  </si>
  <si>
    <t>YUWELL 7F-10  ( 10 LITRE )</t>
  </si>
  <si>
    <t>BOUTEIL O2</t>
  </si>
  <si>
    <t>LINDE GAZ  (B5)</t>
  </si>
  <si>
    <t xml:space="preserve">En location </t>
  </si>
  <si>
    <t>APP0034</t>
  </si>
  <si>
    <t>J752171KS</t>
  </si>
  <si>
    <t>47749 h</t>
  </si>
  <si>
    <t xml:space="preserve">VISIONNAIRE </t>
  </si>
  <si>
    <t>GPP0121120990</t>
  </si>
  <si>
    <t>APP0035</t>
  </si>
  <si>
    <t>APP0036</t>
  </si>
  <si>
    <t>ST DEVILBISS</t>
  </si>
  <si>
    <t>LOC0004</t>
  </si>
  <si>
    <t>SOUHAIEB BEN SAHRA</t>
  </si>
  <si>
    <t>PAY00008</t>
  </si>
  <si>
    <t>GAP RETARD (jours)</t>
  </si>
  <si>
    <t>BOUHLEL SAMIR</t>
  </si>
  <si>
    <t>RUE MOUREDDINE MSAKEN</t>
  </si>
  <si>
    <t>GAITH</t>
  </si>
  <si>
    <t>HNAIEN ABDELFATTEH</t>
  </si>
  <si>
    <t>N°03813219</t>
  </si>
  <si>
    <t xml:space="preserve">RCHERCHA </t>
  </si>
  <si>
    <t>APP0037</t>
  </si>
  <si>
    <t>APP0038</t>
  </si>
  <si>
    <t>APP0039</t>
  </si>
  <si>
    <t>APP0040</t>
  </si>
  <si>
    <t>CBB0121160198</t>
  </si>
  <si>
    <t>DISPONIBLE</t>
  </si>
  <si>
    <t>DISPONIBLE ( DON )</t>
  </si>
  <si>
    <t>YH830A-V24927020</t>
  </si>
  <si>
    <t>RETOUR VNI YUWELL  YH830A-V24927020 LE 13/08/2025 + CONCENTRATEUR OXY  ELITE BUB 0117030191</t>
  </si>
  <si>
    <t>BUB 0117030191</t>
  </si>
  <si>
    <r>
      <t xml:space="preserve">LOC CONCENTRATEUR OXY 5 LITRE : 07/08/2025 DEVILBISS J752171KS (REMPLACER PAR 10LITRE) LE 11/08/2025 IRIS SN CBB0121160198     </t>
    </r>
    <r>
      <rPr>
        <b/>
        <sz val="12"/>
        <color theme="9" tint="-0.249977111117893"/>
        <rFont val="Calibri"/>
        <family val="2"/>
        <scheme val="minor"/>
      </rPr>
      <t>PAYEE 200DT</t>
    </r>
    <r>
      <rPr>
        <b/>
        <sz val="12"/>
        <color theme="1"/>
        <rFont val="Calibri"/>
        <family val="2"/>
        <scheme val="minor"/>
      </rPr>
      <t xml:space="preserve">                  RETOUR: LE 13/08/2025</t>
    </r>
  </si>
  <si>
    <t>N****</t>
  </si>
  <si>
    <t>note</t>
  </si>
  <si>
    <t>yassine ben salah sfax</t>
  </si>
  <si>
    <t>iris nouri baaziz</t>
  </si>
  <si>
    <t>LIT MEDICAL ELECTRIQUE</t>
  </si>
  <si>
    <t>EN ATTENTE COMPRESSEUR</t>
  </si>
  <si>
    <t>HORS STOCK</t>
  </si>
  <si>
    <t xml:space="preserve">HORS STOCK </t>
  </si>
  <si>
    <t>SPIRIT 3</t>
  </si>
  <si>
    <t>KAIROUAN</t>
  </si>
  <si>
    <t>APP0041</t>
  </si>
  <si>
    <t xml:space="preserve">VNI </t>
  </si>
  <si>
    <t>VNIAPP0041</t>
  </si>
  <si>
    <t>LOUER</t>
  </si>
  <si>
    <t>APP0042</t>
  </si>
  <si>
    <t>O2APP0042</t>
  </si>
  <si>
    <t>LOC0005</t>
  </si>
  <si>
    <t>PAY00009</t>
  </si>
  <si>
    <t>RENOUVELLEMENT DEPOSER LE 01/08</t>
  </si>
  <si>
    <t>BILEL Bouhlel</t>
  </si>
  <si>
    <t>PAY00010</t>
  </si>
  <si>
    <t>LOC0006</t>
  </si>
  <si>
    <t>APP0043</t>
  </si>
  <si>
    <t>APP0044</t>
  </si>
  <si>
    <t>AHMED GAZZEH</t>
  </si>
  <si>
    <t>APP0045</t>
  </si>
  <si>
    <t>APP0046</t>
  </si>
  <si>
    <t>LOC0007</t>
  </si>
  <si>
    <t>PAY00011</t>
  </si>
  <si>
    <t>PAY00012</t>
  </si>
  <si>
    <t>LOC0008</t>
  </si>
  <si>
    <t>PAY00013</t>
  </si>
  <si>
    <t>PAY00014</t>
  </si>
  <si>
    <t>APP0047</t>
  </si>
  <si>
    <t>LOC0009</t>
  </si>
  <si>
    <t>PAY00015</t>
  </si>
  <si>
    <t>APP0048</t>
  </si>
  <si>
    <t>PAY00016</t>
  </si>
  <si>
    <t xml:space="preserve">RETOUR VNI RESMED S9  SN : 22151943863 le 14/08/2025 ( BILEL)     oxy a verifier </t>
  </si>
  <si>
    <r>
      <t xml:space="preserve">DateDébut </t>
    </r>
    <r>
      <rPr>
        <b/>
        <sz val="11"/>
        <color theme="0"/>
        <rFont val="Calibri"/>
        <family val="2"/>
      </rPr>
      <t>Installation</t>
    </r>
  </si>
  <si>
    <t>DateDébut  DDP</t>
  </si>
  <si>
    <t>DateFin DFP</t>
  </si>
  <si>
    <t>SEBAI KAHIA</t>
  </si>
  <si>
    <t>PASS 177883616</t>
  </si>
  <si>
    <t>HOTEL JINEN</t>
  </si>
  <si>
    <t>ACHRAF</t>
  </si>
  <si>
    <t>RENOUVELLEMENT OXY + VNI</t>
  </si>
  <si>
    <t>Stock souhaieb</t>
  </si>
  <si>
    <t>fils</t>
  </si>
  <si>
    <t>N°00856684/00</t>
  </si>
  <si>
    <t>APP0049</t>
  </si>
  <si>
    <t>N°02865587</t>
  </si>
  <si>
    <t>APP0050</t>
  </si>
  <si>
    <t>B208240047KS</t>
  </si>
  <si>
    <t>APP0051</t>
  </si>
  <si>
    <t>YH830A-V24309013</t>
  </si>
  <si>
    <t>APP0052</t>
  </si>
  <si>
    <t>APP0053</t>
  </si>
  <si>
    <t>SOUHAIB</t>
  </si>
  <si>
    <t>DECES</t>
  </si>
  <si>
    <t>N°01112916/00</t>
  </si>
  <si>
    <t>APP0054</t>
  </si>
  <si>
    <t>MA20115260008</t>
  </si>
  <si>
    <t>APP0055</t>
  </si>
  <si>
    <t xml:space="preserve">DATE D INSTALATION : 13/08/2025 -- CPAP Titration RESMED (S10) AUTO/ SN: 23201135093 + MASQUE YF-02M </t>
  </si>
  <si>
    <t>ELITE    ( 10 LITRE )</t>
  </si>
  <si>
    <t xml:space="preserve">CONCENTRATEUR O2 </t>
  </si>
  <si>
    <t>ELITE    ( 5 LITRE )</t>
  </si>
  <si>
    <t>***         ( 5 LITRE )</t>
  </si>
  <si>
    <t>YUWELL 8F-10      ( 10 LITRE )</t>
  </si>
  <si>
    <t>KONSUNG      ( 5 LITRE )</t>
  </si>
  <si>
    <t>RDV 21/08/2025    // VNI :  RESMED ST  - SN 22171113930 + MASQUE YF-02 L</t>
  </si>
  <si>
    <t>RESMED ST</t>
  </si>
  <si>
    <t>RUE LIBIRIA CITE BOUGHZAR SOUSSE</t>
  </si>
  <si>
    <t>N°00781662/00</t>
  </si>
  <si>
    <t>CONCENTRATEUR O2 5L DEVILBISS -- SN : B208240047KS//   VNI YUWELL  ST -- SN YH830A-V24309013</t>
  </si>
  <si>
    <t>YUWELL ST</t>
  </si>
  <si>
    <t>PAT: SASSI SOLTAN</t>
  </si>
  <si>
    <t>Pat : CHNITI AMOR</t>
  </si>
  <si>
    <t>PAT : BEN AFIA BEN FARHAT FRADJ</t>
  </si>
  <si>
    <t>CITE OUERFELLI  AKOUDA 4022</t>
  </si>
  <si>
    <t>55 767 643 PERSO</t>
  </si>
  <si>
    <t>N°01082491/00</t>
  </si>
  <si>
    <t>A17A260040KS</t>
  </si>
  <si>
    <t>ENT 14/08/20258</t>
  </si>
  <si>
    <t>PAT : MARNAOUI HABIB</t>
  </si>
  <si>
    <t>ENT 13/08/2025</t>
  </si>
  <si>
    <t>ENT 14/08/2025</t>
  </si>
  <si>
    <t>APP0056</t>
  </si>
  <si>
    <t xml:space="preserve">YUWELL ST </t>
  </si>
  <si>
    <t>YH830A-V24309009</t>
  </si>
  <si>
    <t>PAT: CHNITI AMOR</t>
  </si>
  <si>
    <t>94239619 SON MARI</t>
  </si>
  <si>
    <t>96320004 FILS</t>
  </si>
  <si>
    <t>N°00852249/00</t>
  </si>
  <si>
    <t>DATE D INSTATALATION : CONCENTRATEUR OXY 5l  06/12/2023  DEVILBISS SN : B209170432KS // +  VNI 23/05/2018   RESMED ST (LUMIS 150)  SN: 23201610919</t>
  </si>
  <si>
    <t>APP0057</t>
  </si>
  <si>
    <t>B209170432KS</t>
  </si>
  <si>
    <t>PAT : JAIDI HOURIA</t>
  </si>
  <si>
    <t>APP0058</t>
  </si>
  <si>
    <t>513 RUE MONJI SLIM CITE EZZOUHOUR</t>
  </si>
  <si>
    <t>58 143 286 SA FILLE</t>
  </si>
  <si>
    <t>DATE D INSTATALATION : CONCENTRATEUR OXY 14/07/25   DEVILBISS ( nouri ) ////  + VNI 08/07/2020   DEVILBISS S SN: KS010312           RDV 09/10/2025</t>
  </si>
  <si>
    <t>APP0059</t>
  </si>
  <si>
    <t xml:space="preserve">PAT: KAHIA SEBAI </t>
  </si>
  <si>
    <t>APP0060</t>
  </si>
  <si>
    <t>LS204189</t>
  </si>
  <si>
    <t>PAT: NASR ELJIA</t>
  </si>
  <si>
    <t>PAT: ADHIMI SALHA</t>
  </si>
  <si>
    <t>J754226KS NOURI</t>
  </si>
  <si>
    <t>APP0061</t>
  </si>
  <si>
    <t>PAT : ADHIMI SALHA</t>
  </si>
  <si>
    <t>KS010312</t>
  </si>
  <si>
    <t>LE 15/08/2025 ( BILEL)</t>
  </si>
  <si>
    <t>MESSOUD MOUNIR</t>
  </si>
  <si>
    <t>PASS 18FA85219</t>
  </si>
  <si>
    <t xml:space="preserve">SOUSSE </t>
  </si>
  <si>
    <t>TAFFELA BOULANGERIE BEN ZINE</t>
  </si>
  <si>
    <t>DATE D INSTALATION : 14/08/2025   VNI  YUWELL-- SN YH830A-V24927020   ( location du 14/08/2025 au 27/08/2025 payee 500dt )</t>
  </si>
  <si>
    <t>PAT : MESSOUD MOUNIR</t>
  </si>
  <si>
    <t>LOC0010</t>
  </si>
  <si>
    <t>VNIAPP0036</t>
  </si>
  <si>
    <t>APP0062</t>
  </si>
  <si>
    <t>APP0063</t>
  </si>
  <si>
    <t>LOC0011</t>
  </si>
  <si>
    <t>PAY00017</t>
  </si>
  <si>
    <t>PAY00018</t>
  </si>
  <si>
    <t>PAY00019</t>
  </si>
  <si>
    <t>PAY00020</t>
  </si>
  <si>
    <t>CANM</t>
  </si>
  <si>
    <t>APP0064</t>
  </si>
  <si>
    <t>**</t>
  </si>
  <si>
    <t>APP0065</t>
  </si>
  <si>
    <t>PAT : JALLED SELMA</t>
  </si>
  <si>
    <t>LOC0012</t>
  </si>
  <si>
    <t>PAY00021</t>
  </si>
  <si>
    <t>PAY00022</t>
  </si>
  <si>
    <t>LOC0013</t>
  </si>
  <si>
    <t>PAY00023</t>
  </si>
  <si>
    <t>PAY00024</t>
  </si>
  <si>
    <t>APP0066</t>
  </si>
  <si>
    <t>PAT : AYADI NAIMA</t>
  </si>
  <si>
    <t>APP0067</t>
  </si>
  <si>
    <t>VNIAPP0067</t>
  </si>
  <si>
    <t>LOC0014</t>
  </si>
  <si>
    <t>PAY00025</t>
  </si>
  <si>
    <t>PAY00026</t>
  </si>
  <si>
    <t>LOC0015</t>
  </si>
  <si>
    <t>PAY00027</t>
  </si>
  <si>
    <t>PAY00028</t>
  </si>
  <si>
    <t>PAY00029</t>
  </si>
  <si>
    <t>PAY00030</t>
  </si>
  <si>
    <t>PAY00031</t>
  </si>
  <si>
    <t>PAY00032</t>
  </si>
  <si>
    <t>PAY00033</t>
  </si>
  <si>
    <t>PAY00034</t>
  </si>
  <si>
    <t>PAY00035</t>
  </si>
  <si>
    <t>PAY00036</t>
  </si>
  <si>
    <t>PAY00037</t>
  </si>
  <si>
    <t>PAY00038</t>
  </si>
  <si>
    <t>PAY00039</t>
  </si>
  <si>
    <t>PAY00040</t>
  </si>
  <si>
    <t>PAY00041</t>
  </si>
  <si>
    <t>PAY00042</t>
  </si>
  <si>
    <t>PAY00043</t>
  </si>
  <si>
    <t>PAY00044</t>
  </si>
  <si>
    <t>PAY00045</t>
  </si>
  <si>
    <t>PAY00046</t>
  </si>
  <si>
    <t>PAY00047</t>
  </si>
  <si>
    <t>PAY00048</t>
  </si>
  <si>
    <t>PAY00049</t>
  </si>
  <si>
    <t>APP0068</t>
  </si>
  <si>
    <t>O2APP0068</t>
  </si>
  <si>
    <t>PAT : ZERGUIN FATHI</t>
  </si>
  <si>
    <t>PAT: ZERGUIN FATHI</t>
  </si>
  <si>
    <t>APP0069</t>
  </si>
  <si>
    <t>VNIAPP0069</t>
  </si>
  <si>
    <t>LOC0016</t>
  </si>
  <si>
    <t>LOC0017</t>
  </si>
  <si>
    <t>APP0070</t>
  </si>
  <si>
    <t>O2APP0070</t>
  </si>
  <si>
    <t>PAT : GHODBANE BECHIRA</t>
  </si>
  <si>
    <t>APP0071</t>
  </si>
  <si>
    <t>VNIAPP0071</t>
  </si>
  <si>
    <t>LOC0018</t>
  </si>
  <si>
    <t>LOC0019</t>
  </si>
  <si>
    <t>APP0072</t>
  </si>
  <si>
    <t>O2APP0072</t>
  </si>
  <si>
    <t>PAT : BARGUI SALEM</t>
  </si>
  <si>
    <t>LOC0020</t>
  </si>
  <si>
    <t>APP0073</t>
  </si>
  <si>
    <t>O2APP0073</t>
  </si>
  <si>
    <t>PAT : BEN AMEUR ALI</t>
  </si>
  <si>
    <t>APP0074</t>
  </si>
  <si>
    <t>VNIAPP0074</t>
  </si>
  <si>
    <t>LOC0021</t>
  </si>
  <si>
    <t>LOC0022</t>
  </si>
  <si>
    <t>APP0075</t>
  </si>
  <si>
    <t>APP0076</t>
  </si>
  <si>
    <t>APP0077</t>
  </si>
  <si>
    <t>APP0078</t>
  </si>
  <si>
    <t>APP0079</t>
  </si>
  <si>
    <t>APP0080</t>
  </si>
  <si>
    <t>APP0081</t>
  </si>
  <si>
    <t>APP0082</t>
  </si>
  <si>
    <t>APP0083</t>
  </si>
  <si>
    <t>APP0084</t>
  </si>
  <si>
    <t>APP0085</t>
  </si>
  <si>
    <t>APP0086</t>
  </si>
  <si>
    <t>APP0087</t>
  </si>
  <si>
    <t>APP0088</t>
  </si>
  <si>
    <t>APP0089</t>
  </si>
  <si>
    <t>APP0090</t>
  </si>
  <si>
    <t>APP0091</t>
  </si>
  <si>
    <t>En location</t>
  </si>
  <si>
    <t>PAT : BEN AHMED SALEH</t>
  </si>
  <si>
    <t>LOC0023</t>
  </si>
  <si>
    <t>PAT: MOUSSA MOKHTAR</t>
  </si>
  <si>
    <t>PAT : MOUSSA MOKHTAR</t>
  </si>
  <si>
    <t>LOC0024</t>
  </si>
  <si>
    <t>LOC0025</t>
  </si>
  <si>
    <t>O2APP0078</t>
  </si>
  <si>
    <t xml:space="preserve">PAT : MISSAOUI HABIB </t>
  </si>
  <si>
    <t>VNIAPP0079</t>
  </si>
  <si>
    <t>VNIAPP0083</t>
  </si>
  <si>
    <t>LOC0026</t>
  </si>
  <si>
    <t>LOC0027</t>
  </si>
  <si>
    <t>PAY00050</t>
  </si>
  <si>
    <t>PAY00051</t>
  </si>
  <si>
    <t>PAY00052</t>
  </si>
  <si>
    <t>PAY00053</t>
  </si>
  <si>
    <t>PAY00054</t>
  </si>
  <si>
    <t>PAY00055</t>
  </si>
  <si>
    <t>PAY00056</t>
  </si>
  <si>
    <t>PAY00057</t>
  </si>
  <si>
    <t>PAY00058</t>
  </si>
  <si>
    <t>PAY00059</t>
  </si>
  <si>
    <t>PAY00060</t>
  </si>
  <si>
    <t>PAY00061</t>
  </si>
  <si>
    <t>PAY00062</t>
  </si>
  <si>
    <t>PAY00063</t>
  </si>
  <si>
    <t>PAY00064</t>
  </si>
  <si>
    <t>PAY00065</t>
  </si>
  <si>
    <t>PAY00066</t>
  </si>
  <si>
    <t>PAY00067</t>
  </si>
  <si>
    <t>PAY00068</t>
  </si>
  <si>
    <t>PAY00069</t>
  </si>
  <si>
    <t>PAY00070</t>
  </si>
  <si>
    <t>PAY00071</t>
  </si>
  <si>
    <t>PAY00072</t>
  </si>
  <si>
    <t>PAY00073</t>
  </si>
  <si>
    <t>PAY00074</t>
  </si>
  <si>
    <t>PAY00075</t>
  </si>
  <si>
    <t>PAY00076</t>
  </si>
  <si>
    <t>PAY00077</t>
  </si>
  <si>
    <t>PAY00078</t>
  </si>
  <si>
    <t>PAY00079</t>
  </si>
  <si>
    <t>PAY00080</t>
  </si>
  <si>
    <t>PAY00081</t>
  </si>
  <si>
    <t>PAY00082</t>
  </si>
  <si>
    <t>PAY00083</t>
  </si>
  <si>
    <t>PAY00084</t>
  </si>
  <si>
    <t>PAY00085</t>
  </si>
  <si>
    <t>PAY00086</t>
  </si>
  <si>
    <t>PAY00087</t>
  </si>
  <si>
    <t>PAY00088</t>
  </si>
  <si>
    <t>PAY00089</t>
  </si>
  <si>
    <t>PAY00090</t>
  </si>
  <si>
    <t>PAY00091</t>
  </si>
  <si>
    <t>PAY00092</t>
  </si>
  <si>
    <t>PAY00093</t>
  </si>
  <si>
    <t>PAY00094</t>
  </si>
  <si>
    <t>PAY00095</t>
  </si>
  <si>
    <t>PAY00096</t>
  </si>
  <si>
    <t>PAY00097</t>
  </si>
  <si>
    <t>PAY00098</t>
  </si>
  <si>
    <t>PAY00099</t>
  </si>
  <si>
    <t>PAY00100</t>
  </si>
  <si>
    <t>PAY00101</t>
  </si>
  <si>
    <t>PAY00102</t>
  </si>
  <si>
    <t>PAY00103</t>
  </si>
  <si>
    <t>PAY00104</t>
  </si>
  <si>
    <t>PAY00105</t>
  </si>
  <si>
    <t>PAY00106</t>
  </si>
  <si>
    <t>PAY00107</t>
  </si>
  <si>
    <t>PAY00108</t>
  </si>
  <si>
    <t>PAY00109</t>
  </si>
  <si>
    <t>PAY00110</t>
  </si>
  <si>
    <t>PAY00111</t>
  </si>
  <si>
    <t>PAY00112</t>
  </si>
  <si>
    <t>PAY00113</t>
  </si>
  <si>
    <t>PAY00114</t>
  </si>
  <si>
    <t>PAY00115</t>
  </si>
  <si>
    <t>LOC0028</t>
  </si>
  <si>
    <t>PAT: TAHA HOUCINE HAMDI</t>
  </si>
  <si>
    <t>O2APP81</t>
  </si>
  <si>
    <t>PAT: CHAIEB SALEH</t>
  </si>
  <si>
    <t>LOC0029</t>
  </si>
  <si>
    <t>LOC0030</t>
  </si>
  <si>
    <t>LOC0031</t>
  </si>
  <si>
    <t>LOC0032</t>
  </si>
  <si>
    <t>LOC0033</t>
  </si>
  <si>
    <t>LOC0034</t>
  </si>
  <si>
    <t>LOC0035</t>
  </si>
  <si>
    <t>LOC0036</t>
  </si>
  <si>
    <t>LOC0037</t>
  </si>
  <si>
    <t>LOC0038</t>
  </si>
  <si>
    <t>LOC0039</t>
  </si>
  <si>
    <t>LOC0040</t>
  </si>
  <si>
    <t>LOC0041</t>
  </si>
  <si>
    <t>LOC0042</t>
  </si>
  <si>
    <t>LOC0043</t>
  </si>
  <si>
    <t>LOC0044</t>
  </si>
  <si>
    <t>LOC0045</t>
  </si>
  <si>
    <t>LOC0046</t>
  </si>
  <si>
    <t>LOC0047</t>
  </si>
  <si>
    <t>LOC0048</t>
  </si>
  <si>
    <t>LOC0049</t>
  </si>
  <si>
    <t>LOC0050</t>
  </si>
  <si>
    <t>LOC0051</t>
  </si>
  <si>
    <t>LOC0052</t>
  </si>
  <si>
    <t>LOC0053</t>
  </si>
  <si>
    <t>LOC0054</t>
  </si>
  <si>
    <t>LOC0055</t>
  </si>
  <si>
    <t>LOC0056</t>
  </si>
  <si>
    <t>LOC0057</t>
  </si>
  <si>
    <t>LOC0058</t>
  </si>
  <si>
    <t>LOC0059</t>
  </si>
  <si>
    <t>LOC0060</t>
  </si>
  <si>
    <t>LOC0061</t>
  </si>
  <si>
    <t>LOC0062</t>
  </si>
  <si>
    <t>LOC0063</t>
  </si>
  <si>
    <t>LOC0064</t>
  </si>
  <si>
    <t>LOC0065</t>
  </si>
  <si>
    <t>LOC0066</t>
  </si>
  <si>
    <t>LOC0067</t>
  </si>
  <si>
    <t>LOC0068</t>
  </si>
  <si>
    <t>LOC0069</t>
  </si>
  <si>
    <t>LOC0070</t>
  </si>
  <si>
    <t>LOC0071</t>
  </si>
  <si>
    <t>LOC0072</t>
  </si>
  <si>
    <t>LOC0073</t>
  </si>
  <si>
    <t>LOC0074</t>
  </si>
  <si>
    <t>LOC0075</t>
  </si>
  <si>
    <t>LOC0076</t>
  </si>
  <si>
    <t>LOC0077</t>
  </si>
  <si>
    <t>LOC0078</t>
  </si>
  <si>
    <t>LOC0079</t>
  </si>
  <si>
    <t>LOC0080</t>
  </si>
  <si>
    <t>LOC0081</t>
  </si>
  <si>
    <t>LOC0082</t>
  </si>
  <si>
    <t>LOC0083</t>
  </si>
  <si>
    <t>LOC0084</t>
  </si>
  <si>
    <t>LOC0085</t>
  </si>
  <si>
    <t>LOC0086</t>
  </si>
  <si>
    <t>LOC0087</t>
  </si>
  <si>
    <t>LOC0088</t>
  </si>
  <si>
    <t>LOC0089</t>
  </si>
  <si>
    <t>LOC0090</t>
  </si>
  <si>
    <t>LOC0091</t>
  </si>
  <si>
    <t>LOC0092</t>
  </si>
  <si>
    <t>LOC0093</t>
  </si>
  <si>
    <t>LOC0094</t>
  </si>
  <si>
    <t>LOC0095</t>
  </si>
  <si>
    <t>LOC0096</t>
  </si>
  <si>
    <t>LOC0097</t>
  </si>
  <si>
    <t>LOC0098</t>
  </si>
  <si>
    <t>LOC0099</t>
  </si>
  <si>
    <t>LOC0100</t>
  </si>
  <si>
    <t>LOC0101</t>
  </si>
  <si>
    <t>LOC0102</t>
  </si>
  <si>
    <t>LOC0103</t>
  </si>
  <si>
    <t>LOC0104</t>
  </si>
  <si>
    <t>LOC0105</t>
  </si>
  <si>
    <t>LOC0106</t>
  </si>
  <si>
    <t>LOC0107</t>
  </si>
  <si>
    <t>LOC0108</t>
  </si>
  <si>
    <t>LOC0109</t>
  </si>
  <si>
    <t>LOC0110</t>
  </si>
  <si>
    <t>LOC0111</t>
  </si>
  <si>
    <t>LOC0112</t>
  </si>
  <si>
    <t>LOC0113</t>
  </si>
  <si>
    <t>LOC0114</t>
  </si>
  <si>
    <t>LOC0115</t>
  </si>
  <si>
    <t>LOC0116</t>
  </si>
  <si>
    <t>LOC0117</t>
  </si>
  <si>
    <t>LOC0118</t>
  </si>
  <si>
    <t>LOC0119</t>
  </si>
  <si>
    <t>LOC0120</t>
  </si>
  <si>
    <t>LOC0121</t>
  </si>
  <si>
    <t>LOC0122</t>
  </si>
  <si>
    <t>LOC0123</t>
  </si>
  <si>
    <t>LOC0124</t>
  </si>
  <si>
    <t>LOC0125</t>
  </si>
  <si>
    <t>LOC0126</t>
  </si>
  <si>
    <t>LOC0127</t>
  </si>
  <si>
    <t>LOC0128</t>
  </si>
  <si>
    <t>LOC0129</t>
  </si>
  <si>
    <t>LOC0130</t>
  </si>
  <si>
    <t>LOC0131</t>
  </si>
  <si>
    <t>LOC0132</t>
  </si>
  <si>
    <t>LOC0133</t>
  </si>
  <si>
    <t>LOC0134</t>
  </si>
  <si>
    <t>LOC0135</t>
  </si>
  <si>
    <t>LOC0136</t>
  </si>
  <si>
    <t>LOC0137</t>
  </si>
  <si>
    <t>LOC0138</t>
  </si>
  <si>
    <t>LOC0139</t>
  </si>
  <si>
    <t>LOC0140</t>
  </si>
  <si>
    <t>LOC0141</t>
  </si>
  <si>
    <t>LOC0142</t>
  </si>
  <si>
    <t>LOC0143</t>
  </si>
  <si>
    <t>LOC0144</t>
  </si>
  <si>
    <t>LOC0145</t>
  </si>
  <si>
    <t>LOC0146</t>
  </si>
  <si>
    <t>LOC0147</t>
  </si>
  <si>
    <t>LOC0148</t>
  </si>
  <si>
    <t>LOC0149</t>
  </si>
  <si>
    <t>LOC0150</t>
  </si>
  <si>
    <t>LOC0151</t>
  </si>
  <si>
    <t>LOC0152</t>
  </si>
  <si>
    <t>LOC0153</t>
  </si>
  <si>
    <t>LOC0154</t>
  </si>
  <si>
    <t>LOC0155</t>
  </si>
  <si>
    <t>LOC0156</t>
  </si>
  <si>
    <t>LOC0157</t>
  </si>
  <si>
    <t>LOC0158</t>
  </si>
  <si>
    <t>LOC0159</t>
  </si>
  <si>
    <t>O2APP0082</t>
  </si>
  <si>
    <t>PAT: BRAHIM HALIMA</t>
  </si>
  <si>
    <t>O2APP0086</t>
  </si>
  <si>
    <t>O2APP0087</t>
  </si>
  <si>
    <t>PAT: ZAOUI MBARKA</t>
  </si>
  <si>
    <t>PAT: ZGOLLI SELMANE</t>
  </si>
  <si>
    <t>PAT: MANI ABDESSALEM</t>
  </si>
  <si>
    <t>B208170381KS</t>
  </si>
  <si>
    <t>OUNI NEJMA</t>
  </si>
  <si>
    <t>N°09258159</t>
  </si>
  <si>
    <t>CITE 9 AVRIL BOUHSSINA SOUSSE</t>
  </si>
  <si>
    <t>RIM</t>
  </si>
  <si>
    <t>16562635/04</t>
  </si>
  <si>
    <t xml:space="preserve">MSAKEN </t>
  </si>
  <si>
    <t>MAKRAM</t>
  </si>
  <si>
    <t>CONCENTRATEUR O2 5L YUWELL -- SN: YH20241125114 // VNI YUWELL ST --SN: YH830A-V25313005 + MASQUE YF-02M</t>
  </si>
  <si>
    <t>YUWELL    (5 LITRE )</t>
  </si>
  <si>
    <t>PAT: JAZIRI VVE LOUSSAIEF HABIBA</t>
  </si>
  <si>
    <t>YH-20241125114</t>
  </si>
  <si>
    <t>YH830A-V25313005</t>
  </si>
  <si>
    <t>50 158 407 FILLE</t>
  </si>
  <si>
    <t>APP0092</t>
  </si>
  <si>
    <t>HABIB FAIDI RUE 5168 N°493 SOUSSE CITE ERRIAD</t>
  </si>
  <si>
    <t>N°02008259</t>
  </si>
  <si>
    <t>01630921/00</t>
  </si>
  <si>
    <t>ENT 16/08/2025</t>
  </si>
  <si>
    <r>
      <t xml:space="preserve">CONCENTRATEUR O2 5L YUWELL -- SN: 220100607  // VNI YUWELL ST --SN:  + MASQUE YF-02M           </t>
    </r>
    <r>
      <rPr>
        <b/>
        <sz val="12"/>
        <color rgb="FFFF0000"/>
        <rFont val="Calibri"/>
        <family val="2"/>
        <scheme val="minor"/>
      </rPr>
      <t xml:space="preserve"> RDV LE 21/08/2025</t>
    </r>
  </si>
  <si>
    <t>130 ROUTE KALAA SEGHIRA SOUSSE 4000</t>
  </si>
  <si>
    <t>21 251 209 FILLE/55546542</t>
  </si>
  <si>
    <t>N°00922240/00</t>
  </si>
  <si>
    <t>APP0093</t>
  </si>
  <si>
    <t>YUWELL    (5 LITRE ) IRIS NOURI</t>
  </si>
  <si>
    <t>PAT: CHATBERI ALI</t>
  </si>
  <si>
    <t>APP0094</t>
  </si>
  <si>
    <t>YH830A-V24927010</t>
  </si>
  <si>
    <r>
      <t xml:space="preserve">CONCENTRATEUR O2 YUWELL ( iris nouri ) -- SN: 20240418193   /// VNI : YUWELL ST -- SN: YH830A-V24927010                                 </t>
    </r>
    <r>
      <rPr>
        <b/>
        <sz val="12"/>
        <color rgb="FFFF0000"/>
        <rFont val="Calibri"/>
        <family val="2"/>
        <scheme val="minor"/>
      </rPr>
      <t xml:space="preserve"> RDV LE 22/10/2025</t>
    </r>
  </si>
  <si>
    <t>AMIN FILS</t>
  </si>
  <si>
    <t>CONCENTRATEUR O2  5L  YUWELL / SN: 20240418023   + O2 PORTATIF</t>
  </si>
  <si>
    <t>APP0095</t>
  </si>
  <si>
    <t xml:space="preserve">YUWELL   (5 LITRE) </t>
  </si>
  <si>
    <t>PAT: JEAN CLAUDE</t>
  </si>
  <si>
    <t>APP0096</t>
  </si>
  <si>
    <t>KHENITECH ZOHRA</t>
  </si>
  <si>
    <t>N°05568459 HICHEM</t>
  </si>
  <si>
    <t>KALAA KEBIRA</t>
  </si>
  <si>
    <t>HICHEM</t>
  </si>
  <si>
    <t>PAT: KHENITECH ZOHRA</t>
  </si>
  <si>
    <r>
      <t xml:space="preserve">DATE D INSTALATION : 15/08/2025   DATE FIN: 14/09/2025  -- CONCENTRATEUR O2 5L : ELITE AIR SEP/ SN: BUB0117030191 + BOUTEUILLE B5 + LUNETTE + HUMIDIFICATEUR    </t>
    </r>
    <r>
      <rPr>
        <b/>
        <sz val="12"/>
        <color rgb="FFFF0000"/>
        <rFont val="Calibri"/>
        <family val="2"/>
        <scheme val="minor"/>
      </rPr>
      <t>PAYEE 1MOIS OXY 250DT + 100DT BOUTEUILLE +80DT CHARGE BOUTEUILLE</t>
    </r>
  </si>
  <si>
    <t>ACHECH CHADLIA (MAKRAM HMIDA)</t>
  </si>
  <si>
    <r>
      <t xml:space="preserve">DATE D INSTALATION : 16/08/2025  DATE FIN :  01/09/2025  // CONCENTRATEUR O2 : YUWELL    SN: 24031320012       </t>
    </r>
    <r>
      <rPr>
        <b/>
        <sz val="12"/>
        <color rgb="FFFF0000"/>
        <rFont val="Calibri"/>
        <family val="2"/>
        <scheme val="minor"/>
      </rPr>
      <t xml:space="preserve"> ( location pour 15j attente paiement ahmed)</t>
    </r>
  </si>
  <si>
    <t>SAHBI SON  FILS</t>
  </si>
  <si>
    <t>PAT: AOUICHAOUI SALEH</t>
  </si>
  <si>
    <t xml:space="preserve">MANI ABDESSALEM </t>
  </si>
  <si>
    <r>
      <t xml:space="preserve">DATE D INSTATALATION : 12/08/2025      DATE FIN : 27/08/2025  --- LOCATION LIT MEDICALE                              </t>
    </r>
    <r>
      <rPr>
        <b/>
        <sz val="12"/>
        <color rgb="FFFF0000"/>
        <rFont val="Calibri"/>
        <family val="2"/>
        <scheme val="minor"/>
      </rPr>
      <t>( PAYEE  ESPECE 250DT  location lit medicale 15j )</t>
    </r>
  </si>
  <si>
    <t>APP0097</t>
  </si>
  <si>
    <t>PAT: SALHI ALI</t>
  </si>
  <si>
    <t>APP0098</t>
  </si>
  <si>
    <t>APP0099</t>
  </si>
  <si>
    <t>O2APP0099</t>
  </si>
  <si>
    <t>PAT: HAMI ZOUHAIRA</t>
  </si>
  <si>
    <t>APP0100</t>
  </si>
  <si>
    <t>VNIAPP0100</t>
  </si>
  <si>
    <t>APP0101</t>
  </si>
  <si>
    <t>APP0102</t>
  </si>
  <si>
    <t>APP0103</t>
  </si>
  <si>
    <t>APP0104</t>
  </si>
  <si>
    <t>APP0105</t>
  </si>
  <si>
    <t>APP0106</t>
  </si>
  <si>
    <t>APP0107</t>
  </si>
  <si>
    <t>APP0108</t>
  </si>
  <si>
    <t>APP0109</t>
  </si>
  <si>
    <t>APP0110</t>
  </si>
  <si>
    <t>APP0111</t>
  </si>
  <si>
    <t>APP0112</t>
  </si>
  <si>
    <t>APP0113</t>
  </si>
  <si>
    <t>APP0114</t>
  </si>
  <si>
    <t>APP0115</t>
  </si>
  <si>
    <t>O2APP0101</t>
  </si>
  <si>
    <t>LOUERE</t>
  </si>
  <si>
    <t>PAT: MHADHBI GUEZELA</t>
  </si>
  <si>
    <t>VNIAPP0102</t>
  </si>
  <si>
    <t>VNIAPP0105</t>
  </si>
  <si>
    <t>VNIAPP0109</t>
  </si>
  <si>
    <t>PAT: ZAGHDEN MOUNIR</t>
  </si>
  <si>
    <t>O2APP0104</t>
  </si>
  <si>
    <t>PAT: HICHERI AJMI</t>
  </si>
  <si>
    <t>PAT: ZBIBA MAHMOUD BEN MHAMED</t>
  </si>
  <si>
    <t>O2APP0108</t>
  </si>
  <si>
    <t>PAT: GHILOUFI MOHAMED AMMAR</t>
  </si>
  <si>
    <r>
      <t>GRAND MERE LE VOISIN DE</t>
    </r>
    <r>
      <rPr>
        <b/>
        <sz val="12"/>
        <color theme="9" tint="-0.499984740745262"/>
        <rFont val="Calibri"/>
        <family val="2"/>
        <scheme val="minor"/>
      </rPr>
      <t xml:space="preserve"> KARIM</t>
    </r>
    <r>
      <rPr>
        <b/>
        <sz val="12"/>
        <color theme="1"/>
        <rFont val="Calibri"/>
        <family val="2"/>
        <scheme val="minor"/>
      </rPr>
      <t xml:space="preserve"> ( hichem mkhinini )   RETOUR le 18/08/2025  PAIEMENT 200DT ( location 21j concentrateur O2 )</t>
    </r>
  </si>
  <si>
    <t>YUWELL   (10 LITRE )</t>
  </si>
  <si>
    <t>PAT: JGHAM ASMA</t>
  </si>
  <si>
    <t>KAABI AHMED</t>
  </si>
  <si>
    <t>O2APP0112</t>
  </si>
  <si>
    <t>PAT: BAKLOUTI ABDALLAH</t>
  </si>
  <si>
    <t>PAY00116</t>
  </si>
  <si>
    <t>PAY00117</t>
  </si>
  <si>
    <t>PAY00118</t>
  </si>
  <si>
    <t>PAY00119</t>
  </si>
  <si>
    <t>PAY00120</t>
  </si>
  <si>
    <t>PAY00121</t>
  </si>
  <si>
    <t>PAY00122</t>
  </si>
  <si>
    <t>PAY00123</t>
  </si>
  <si>
    <t>PAY00124</t>
  </si>
  <si>
    <t>PAY00125</t>
  </si>
  <si>
    <t>PAY00126</t>
  </si>
  <si>
    <t>PAY00127</t>
  </si>
  <si>
    <t>PAY00128</t>
  </si>
  <si>
    <t>PAY00129</t>
  </si>
  <si>
    <t>PAY00130</t>
  </si>
  <si>
    <t>PAY00131</t>
  </si>
  <si>
    <t>PAY00132</t>
  </si>
  <si>
    <t>PAY00133</t>
  </si>
  <si>
    <t>PAY00134</t>
  </si>
  <si>
    <t>PAY00135</t>
  </si>
  <si>
    <t>PAY00136</t>
  </si>
  <si>
    <t>PAY00137</t>
  </si>
  <si>
    <t>PAY00138</t>
  </si>
  <si>
    <t>PAY00139</t>
  </si>
  <si>
    <t>PAY00140</t>
  </si>
  <si>
    <t>PAY00141</t>
  </si>
  <si>
    <t>PAY00142</t>
  </si>
  <si>
    <t>PAY00143</t>
  </si>
  <si>
    <t>PAY00144</t>
  </si>
  <si>
    <t>PAY00145</t>
  </si>
  <si>
    <t>PAY00146</t>
  </si>
  <si>
    <t>PAY00147</t>
  </si>
  <si>
    <t>PAY00148</t>
  </si>
  <si>
    <t>PAY00149</t>
  </si>
  <si>
    <t>PAY00150</t>
  </si>
  <si>
    <t>PAY00151</t>
  </si>
  <si>
    <t>PAY00152</t>
  </si>
  <si>
    <t>PAY00153</t>
  </si>
  <si>
    <t>PAY00154</t>
  </si>
  <si>
    <t>PAY00155</t>
  </si>
  <si>
    <t>PAY00156</t>
  </si>
  <si>
    <t>PAY00157</t>
  </si>
  <si>
    <t>PAY00158</t>
  </si>
  <si>
    <t>PAY00159</t>
  </si>
  <si>
    <t>PAY00160</t>
  </si>
  <si>
    <t>PAY00161</t>
  </si>
  <si>
    <t>PAY00162</t>
  </si>
  <si>
    <t>PAY00163</t>
  </si>
  <si>
    <t>PAY00164</t>
  </si>
  <si>
    <t>PAY00165</t>
  </si>
  <si>
    <t>PAY00166</t>
  </si>
  <si>
    <t>PAY00167</t>
  </si>
  <si>
    <t>PAY00168</t>
  </si>
  <si>
    <t>PAY00169</t>
  </si>
  <si>
    <t>PAY00170</t>
  </si>
  <si>
    <t>PAY00171</t>
  </si>
  <si>
    <t>PAY00172</t>
  </si>
  <si>
    <t>PAY00173</t>
  </si>
  <si>
    <t>PAY00174</t>
  </si>
  <si>
    <t>PAY00175</t>
  </si>
  <si>
    <t>PAY00176</t>
  </si>
  <si>
    <t>PAY00177</t>
  </si>
  <si>
    <t>PAY00178</t>
  </si>
  <si>
    <t>PAY00179</t>
  </si>
  <si>
    <t>PAY00180</t>
  </si>
  <si>
    <t>PAY00181</t>
  </si>
  <si>
    <t>PAY00182</t>
  </si>
  <si>
    <t>PAY00183</t>
  </si>
  <si>
    <t>PAY00184</t>
  </si>
  <si>
    <t>PAY00185</t>
  </si>
  <si>
    <t>PAY00186</t>
  </si>
  <si>
    <t>PAY00187</t>
  </si>
  <si>
    <t>PAY00188</t>
  </si>
  <si>
    <t>PAY00189</t>
  </si>
  <si>
    <t>PAY00190</t>
  </si>
  <si>
    <t>PAY00191</t>
  </si>
  <si>
    <t>PAY00192</t>
  </si>
  <si>
    <t>PAY00193</t>
  </si>
  <si>
    <t>PAY00194</t>
  </si>
  <si>
    <t>PAY00195</t>
  </si>
  <si>
    <t>PAY00196</t>
  </si>
  <si>
    <t>PAY00197</t>
  </si>
  <si>
    <t>BEN HAMIDA MOSBAH</t>
  </si>
  <si>
    <t>N°01523805</t>
  </si>
  <si>
    <t>PRSONNEL</t>
  </si>
  <si>
    <t>N°00782439/00</t>
  </si>
  <si>
    <t>DATE INSTALLATION: 28/07/2025 VNI YUWELL YH-830-V24927003 + MASQUE YN03 (M)  ///  DATE D INSTALLATION: 09/08/2025   CONCENTRATEUR O2 5L YUWELL SN: 20230705042              DOSSIER CNAM DEPOSER  01/08/2025</t>
  </si>
  <si>
    <t>PAT: BEN AHMED HASSEN</t>
  </si>
  <si>
    <t>APP0116</t>
  </si>
  <si>
    <t>APP0117</t>
  </si>
  <si>
    <t>APP0118</t>
  </si>
  <si>
    <t>APP0119</t>
  </si>
  <si>
    <t>APP0120</t>
  </si>
  <si>
    <t>APP0121</t>
  </si>
  <si>
    <t>APP0122</t>
  </si>
  <si>
    <t>APP0123</t>
  </si>
  <si>
    <t>APP0124</t>
  </si>
  <si>
    <t>APP0125</t>
  </si>
  <si>
    <t>APP0126</t>
  </si>
  <si>
    <t>APP0127</t>
  </si>
  <si>
    <t>APP0128</t>
  </si>
  <si>
    <t>APP0129</t>
  </si>
  <si>
    <t>APP0130</t>
  </si>
  <si>
    <t>APP0131</t>
  </si>
  <si>
    <t>APP0132</t>
  </si>
  <si>
    <t>APP0133</t>
  </si>
  <si>
    <t>APP0134</t>
  </si>
  <si>
    <t>APP0135</t>
  </si>
  <si>
    <t>APP0136</t>
  </si>
  <si>
    <t>APP0137</t>
  </si>
  <si>
    <t>APP0138</t>
  </si>
  <si>
    <t>APP0139</t>
  </si>
  <si>
    <t>APP0140</t>
  </si>
  <si>
    <t>APP0141</t>
  </si>
  <si>
    <t>APP0142</t>
  </si>
  <si>
    <t>APP0143</t>
  </si>
  <si>
    <t>APP0144</t>
  </si>
  <si>
    <t>APP0145</t>
  </si>
  <si>
    <t>APP0146</t>
  </si>
  <si>
    <t>APP0147</t>
  </si>
  <si>
    <t>APP0148</t>
  </si>
  <si>
    <t>O2APP0116</t>
  </si>
  <si>
    <t>PAT: AKKARI VVE FARHAT AICHA</t>
  </si>
  <si>
    <t>VNIAPP0117</t>
  </si>
  <si>
    <t>PAT: AISSAOUI MOEZ</t>
  </si>
  <si>
    <t>N°02912510</t>
  </si>
  <si>
    <t>50524644 SON FILS</t>
  </si>
  <si>
    <t>N°01400070/00</t>
  </si>
  <si>
    <r>
      <t xml:space="preserve">DATE INSTALLATION : 22/03/2025 -- CONCENTRATEUR O2 5L : SN J711401KS DEVILBISS // VNI : YUWELL YH830A-V24927014 + MASQUE YF-02M              </t>
    </r>
    <r>
      <rPr>
        <b/>
        <sz val="12"/>
        <color rgb="FFFF0000"/>
        <rFont val="Calibri"/>
        <family val="2"/>
        <scheme val="minor"/>
      </rPr>
      <t xml:space="preserve"> RECU BL</t>
    </r>
  </si>
  <si>
    <r>
      <t xml:space="preserve">CONCENTRATION O2 (5L) : YUWELL  SN: 20241125116   // VNI : YUWELL ST  SN: YH830A-V24927027 + MASQUE YF-02M                   </t>
    </r>
    <r>
      <rPr>
        <b/>
        <sz val="12"/>
        <color rgb="FFFF0000"/>
        <rFont val="Calibri"/>
        <family val="2"/>
        <scheme val="minor"/>
      </rPr>
      <t xml:space="preserve"> RDV 20/11/2025</t>
    </r>
  </si>
  <si>
    <t>YUWELL  (5L)</t>
  </si>
  <si>
    <t>ENT 18/08/2025</t>
  </si>
  <si>
    <t>PAT: ZAYENNI WASSILA</t>
  </si>
  <si>
    <t>YH830A-V24927027</t>
  </si>
  <si>
    <t>N°02897623</t>
  </si>
  <si>
    <t>HOUCIN MONCEF</t>
  </si>
  <si>
    <t>PAT : HOUCINE MONCEF</t>
  </si>
  <si>
    <t>ELITE AIR SEP</t>
  </si>
  <si>
    <t>N5162940</t>
  </si>
  <si>
    <t>KS010160</t>
  </si>
  <si>
    <t>CONCENTRATEUR O2 ( 5L ) ELITE AIR SEP SN: N5162940 // VNI : DEVELBISS S   SN: KS010160</t>
  </si>
  <si>
    <t xml:space="preserve">5 RUE MONCEF BEY 4011 HAMMEM SOUSSE </t>
  </si>
  <si>
    <r>
      <t xml:space="preserve">CONCENTRATEUR O2 ( 5L ) DEVILBISS  SN: R065726   /// VNI : DEVILBISS ST   SN: LS204166             </t>
    </r>
    <r>
      <rPr>
        <b/>
        <sz val="12"/>
        <color rgb="FFFF0000"/>
        <rFont val="Calibri"/>
        <family val="2"/>
        <scheme val="minor"/>
      </rPr>
      <t>RDV LE 12/11/2025</t>
    </r>
  </si>
  <si>
    <t>R065726</t>
  </si>
  <si>
    <t>LS204166</t>
  </si>
  <si>
    <t>31 AVENUE HABIB BOURGUIBA  ZAOUIET SOUSSE</t>
  </si>
  <si>
    <t>22  856 117</t>
  </si>
  <si>
    <t>N°0006805457/57</t>
  </si>
  <si>
    <r>
      <t xml:space="preserve">VNI : DEVILBISS ST    SN: LS204247     </t>
    </r>
    <r>
      <rPr>
        <b/>
        <sz val="12"/>
        <color rgb="FFFF0000"/>
        <rFont val="Calibri"/>
        <family val="2"/>
        <scheme val="minor"/>
      </rPr>
      <t xml:space="preserve">  RDV LE 13/11/2025</t>
    </r>
  </si>
  <si>
    <t>LS204247</t>
  </si>
  <si>
    <t>PAT: KHALIFA SLEH</t>
  </si>
  <si>
    <t>MAHDIA ROUTE CNAM</t>
  </si>
  <si>
    <t>N°03924310</t>
  </si>
  <si>
    <t>LS008771</t>
  </si>
  <si>
    <t>PAT: ZEGUNENI KHALED</t>
  </si>
  <si>
    <t>N°03807328</t>
  </si>
  <si>
    <t>RUE SALEM BOUHAJEB AV HABIB BOURGUIBA 511 HIBOUN MAHDIA ( PRES AZIZA )</t>
  </si>
  <si>
    <t>N°0010197831/31</t>
  </si>
  <si>
    <t>VNI : DEVILBISS ST   SN : LS204212  + MASQUE YF02 ( M )</t>
  </si>
  <si>
    <t>22273733//+393792061432</t>
  </si>
  <si>
    <t xml:space="preserve">DEVILBISS ST </t>
  </si>
  <si>
    <t>LS204212</t>
  </si>
  <si>
    <t>PAT: BANNOUR SALAH</t>
  </si>
  <si>
    <t>HAMZA VVE TOUMI OMEZZINE</t>
  </si>
  <si>
    <t>N°03828516</t>
  </si>
  <si>
    <t>MAHDIA DERIERE CLINIQUE EXCELLENCE</t>
  </si>
  <si>
    <t>SALWA</t>
  </si>
  <si>
    <t>N°00302548/0</t>
  </si>
  <si>
    <t>VNI : DEVILBISS ST   SN : LS005195  + MASQUE YF02 ( S )</t>
  </si>
  <si>
    <t>PAT: HAMZA VVE TOUMI OMEZZINE</t>
  </si>
  <si>
    <t>LS005195</t>
  </si>
  <si>
    <t>N°03813030</t>
  </si>
  <si>
    <t>ROUTE CHATT CHEBBA</t>
  </si>
  <si>
    <t>N°01220841/00</t>
  </si>
  <si>
    <t>YH820C-V22C50009</t>
  </si>
  <si>
    <t>PAT : BRAHIM HABIB</t>
  </si>
  <si>
    <t>VNI : YUWELL ST  SN: YH820C-V22C50009  + MASQUE YF02 ( M )</t>
  </si>
  <si>
    <t>N°03855172</t>
  </si>
  <si>
    <t xml:space="preserve">MAHDIA PRES DE STADE </t>
  </si>
  <si>
    <t>N°41547449/00</t>
  </si>
  <si>
    <t>VNI : YUWELL ST MODE VGPS  SN : Y830A-V24309022  + MASQUE SEPHAME ( L )</t>
  </si>
  <si>
    <t>YUWELL ST   MODE VGPS</t>
  </si>
  <si>
    <t>Y830A-24309022</t>
  </si>
  <si>
    <t>PAT : ABDELOUAHED ABDERAZEK</t>
  </si>
  <si>
    <t>N°03951952</t>
  </si>
  <si>
    <t>Y830A-V2927008</t>
  </si>
  <si>
    <t>PAT: BOUBAKER FAOUZI</t>
  </si>
  <si>
    <t>N°03881236</t>
  </si>
  <si>
    <t xml:space="preserve">CHEBBA </t>
  </si>
  <si>
    <t>LS201390</t>
  </si>
  <si>
    <t>PAT: HARTELLI MALEK</t>
  </si>
  <si>
    <t>N°03897639</t>
  </si>
  <si>
    <t>RCHACHRA</t>
  </si>
  <si>
    <t>CITE KDARA</t>
  </si>
  <si>
    <t>N°55642073/05</t>
  </si>
  <si>
    <t>PAT : OUNI NEJMA</t>
  </si>
  <si>
    <t>CONCENTRATEUR O2 : YUWELL (5L)  SN: 220100609 + BOUTEUIL AIR LIQUIDE /// VNI : RESMED S9 AUTO  SN : 22141134217 + MASQUE YF02 ( M )</t>
  </si>
  <si>
    <t>YUWELL     ( 5L )</t>
  </si>
  <si>
    <t>RESMED S9 AUTO</t>
  </si>
  <si>
    <t>AIR LIQUIDE</t>
  </si>
  <si>
    <t>VNI: YUWELL  ST   SN: Y830A-V2927008 + MASQUE  YF02 ( L )</t>
  </si>
  <si>
    <t xml:space="preserve"> ( PRES DE LA POSTE )</t>
  </si>
  <si>
    <t>N°01198295/00</t>
  </si>
  <si>
    <t>VNI : DEVILBISS ST   SN : LS204218 + MASQUE YF02 ( L )</t>
  </si>
  <si>
    <t>LS204218</t>
  </si>
  <si>
    <t>PAT: NAILI SALEM</t>
  </si>
  <si>
    <t>N°08196212</t>
  </si>
  <si>
    <t>ROUTE PORT PRES CNAM</t>
  </si>
  <si>
    <t>N°11666536/08</t>
  </si>
  <si>
    <t>VNI: DEVILBISS ST   SN : LS008668  + MASQUE YF02 ( L )</t>
  </si>
  <si>
    <t>LS008668</t>
  </si>
  <si>
    <t>PAT: ABDALLAH FEKIH HABIB</t>
  </si>
  <si>
    <t>N°03863714</t>
  </si>
  <si>
    <t>CONCENTRATEUR O2 : YUWELL (5L)  SN: 20241125118  /// VNI : DEVILBISS ST  SN : LS204239 + MASQUE YF02 ( S )</t>
  </si>
  <si>
    <t>YUWELL ( 5 L )</t>
  </si>
  <si>
    <t>PAT: KITAR AICHA</t>
  </si>
  <si>
    <t>LS204239</t>
  </si>
  <si>
    <t>26 565 878 MOUNIR/29 561 330</t>
  </si>
  <si>
    <t>KHELIFA RIDHA</t>
  </si>
  <si>
    <t>PAT: ACHECH CHADLIA</t>
  </si>
  <si>
    <t>PAT: HABIB SMIDA</t>
  </si>
  <si>
    <t>PAT: BRAHEM KAMEL</t>
  </si>
  <si>
    <t>PAT: ABID MAHBOUBA</t>
  </si>
  <si>
    <t>ABID MAHBOUBA</t>
  </si>
  <si>
    <t>PAT: BOUKHRISS AMEUR</t>
  </si>
  <si>
    <t>PAT : BOUKHRISS AMEUR</t>
  </si>
  <si>
    <t>PAT: OTHMEN FITOURI</t>
  </si>
  <si>
    <t>O2APP0139</t>
  </si>
  <si>
    <t>PAT: BOUAZZA KAMEL</t>
  </si>
  <si>
    <t>VNIAPP0140</t>
  </si>
  <si>
    <t>VNIAPP0142</t>
  </si>
  <si>
    <t>O2APP0141</t>
  </si>
  <si>
    <t>PAT: BRAHIM REGUAYA</t>
  </si>
  <si>
    <t>J711401KS</t>
  </si>
  <si>
    <t>PAT: KAABI AHMED</t>
  </si>
  <si>
    <t xml:space="preserve">YUWELL </t>
  </si>
  <si>
    <t>YH830A-V24927014</t>
  </si>
  <si>
    <t>PAT:BEN SAAD AMMAR  ( RETOUR )</t>
  </si>
  <si>
    <t>O2APP0145</t>
  </si>
  <si>
    <t>O2APP0146</t>
  </si>
  <si>
    <t>PAT: BEN ALI NAIMA</t>
  </si>
  <si>
    <t>VNIAPP0147</t>
  </si>
  <si>
    <r>
      <t xml:space="preserve"> CONCENTRATEUR O2 + VNI + BOUTEUIL O2      </t>
    </r>
    <r>
      <rPr>
        <b/>
        <sz val="12"/>
        <color rgb="FFFF0000"/>
        <rFont val="Calibri"/>
        <family val="2"/>
        <scheme val="minor"/>
      </rPr>
      <t>RETOUR  LE 02/08/2025 (BILEL)</t>
    </r>
  </si>
  <si>
    <t>DEVILBISS</t>
  </si>
  <si>
    <t>RETOUR LE 02/08/2025</t>
  </si>
  <si>
    <t>PAT: BELLOTF NAJOUA</t>
  </si>
  <si>
    <t>YH830A-V24309010</t>
  </si>
  <si>
    <t>APP0149</t>
  </si>
  <si>
    <t>APP0150</t>
  </si>
  <si>
    <t>SA FILLE JAMILA</t>
  </si>
  <si>
    <t>A VERIFIER</t>
  </si>
  <si>
    <t>APP0151</t>
  </si>
  <si>
    <t>PAT: BORJI NAJIB</t>
  </si>
  <si>
    <t>verificacation appareil VERIFICATION BON DE LOCATION</t>
  </si>
  <si>
    <t>FIN LE 29/08/2025</t>
  </si>
  <si>
    <r>
      <t xml:space="preserve">BL RECU LE 15/08/2025 /// CONCENTRATEUR O2 5L KONSUNG SN: MA20115260008    /// rdv le 04/09/2025                          </t>
    </r>
    <r>
      <rPr>
        <b/>
        <sz val="12"/>
        <color theme="5" tint="-0.249977111117893"/>
        <rFont val="Calibri"/>
        <family val="2"/>
        <scheme val="minor"/>
      </rPr>
      <t>RECUE BUR LE 19/08/2025</t>
    </r>
  </si>
  <si>
    <t>BILEL BOUHLEL</t>
  </si>
  <si>
    <t>OUESSLETI MONIA</t>
  </si>
  <si>
    <t>APP0152</t>
  </si>
  <si>
    <t>ENT 19/08/2025</t>
  </si>
  <si>
    <t>PAT: OUESLATI MONIA</t>
  </si>
  <si>
    <t>OUARDANINE PRES MARCHEE</t>
  </si>
  <si>
    <r>
      <t xml:space="preserve">DATE D INSTALATION : 10/07/2025   CONCENTRATEUR O2 : YUWELL  SN: 20240827097    </t>
    </r>
    <r>
      <rPr>
        <b/>
        <sz val="12"/>
        <color rgb="FFFF0000"/>
        <rFont val="Calibri"/>
        <family val="2"/>
        <scheme val="minor"/>
      </rPr>
      <t>ATT BL CNAM</t>
    </r>
  </si>
  <si>
    <t>NON DEPOSER DOSSIER CNAM</t>
  </si>
  <si>
    <t>JARETHA</t>
  </si>
  <si>
    <r>
      <t xml:space="preserve">CONCENTRATEUR O2 5L DEVILBISS -- SN : A17A260040KS //   VNI YUWELL  ST -- SN YH830A-V24309009       </t>
    </r>
    <r>
      <rPr>
        <b/>
        <sz val="12"/>
        <color rgb="FFFF0000"/>
        <rFont val="Calibri"/>
        <family val="2"/>
        <scheme val="minor"/>
      </rPr>
      <t>ATT BL CNAM OXY</t>
    </r>
  </si>
  <si>
    <t>NON DEPOSER DOSSIER CNAM OXY</t>
  </si>
  <si>
    <t>ENT 15/08/2025</t>
  </si>
  <si>
    <t>APP0153</t>
  </si>
  <si>
    <t>PAT: TOUMI FRADJ</t>
  </si>
  <si>
    <t>APP0154</t>
  </si>
  <si>
    <t>APP0155</t>
  </si>
  <si>
    <t>APP0156</t>
  </si>
  <si>
    <t>APP0157</t>
  </si>
  <si>
    <t>APP0158</t>
  </si>
  <si>
    <t>APP0159</t>
  </si>
  <si>
    <t>APP0160</t>
  </si>
  <si>
    <t>APP0161</t>
  </si>
  <si>
    <t>APP0162</t>
  </si>
  <si>
    <t>APP0163</t>
  </si>
  <si>
    <t>APP0164</t>
  </si>
  <si>
    <t>APP0165</t>
  </si>
  <si>
    <t>PAT: BEN HAMIDA MOSBAH</t>
  </si>
  <si>
    <t>YH830-V24927003</t>
  </si>
  <si>
    <t>PAT: BEL HADJ SAID LEILA</t>
  </si>
  <si>
    <t>PAIEMENT ESPECE 250DT/MOIS</t>
  </si>
  <si>
    <t>PAT: ZRELLI FATOUM</t>
  </si>
  <si>
    <t>DEPOSER DOSSEIR LE 01/08/2025</t>
  </si>
  <si>
    <t>PAY00198</t>
  </si>
  <si>
    <t>PAY00199</t>
  </si>
  <si>
    <t>PAY00200</t>
  </si>
  <si>
    <t>PAY00201</t>
  </si>
  <si>
    <t>PAY00202</t>
  </si>
  <si>
    <t>PAY00203</t>
  </si>
  <si>
    <t>PAY00204</t>
  </si>
  <si>
    <t>PAY00205</t>
  </si>
  <si>
    <t>PAY00206</t>
  </si>
  <si>
    <t>PAY00207</t>
  </si>
  <si>
    <t>PAY00208</t>
  </si>
  <si>
    <t>PAY00209</t>
  </si>
  <si>
    <t>PAY00210</t>
  </si>
  <si>
    <t>PAY00211</t>
  </si>
  <si>
    <t>PAY00212</t>
  </si>
  <si>
    <t>PAY00213</t>
  </si>
  <si>
    <t>PAY00214</t>
  </si>
  <si>
    <t>PAY00215</t>
  </si>
  <si>
    <t>PAY00216</t>
  </si>
  <si>
    <t>PAY00217</t>
  </si>
  <si>
    <t>PAT: MONJI JERFEL</t>
  </si>
  <si>
    <t>PAT: KHELIFA RIDHA</t>
  </si>
  <si>
    <t>PAT: BEN MABROUKLAZHAR</t>
  </si>
  <si>
    <t>PAT: TAHER OTHMENI</t>
  </si>
  <si>
    <t>PAT: HASSIN KADIDA</t>
  </si>
  <si>
    <t>PAY00218</t>
  </si>
  <si>
    <t>PAY00219</t>
  </si>
  <si>
    <t>PAY00220</t>
  </si>
  <si>
    <t>PAY00221</t>
  </si>
  <si>
    <t>PAY00222</t>
  </si>
  <si>
    <t>PAY00223</t>
  </si>
  <si>
    <t>PAY00224</t>
  </si>
  <si>
    <t>PAY00225</t>
  </si>
  <si>
    <t>PAY00226</t>
  </si>
  <si>
    <t>PAY00227</t>
  </si>
  <si>
    <t>PAY00228</t>
  </si>
  <si>
    <t>PAY00229</t>
  </si>
  <si>
    <t>PAY00230</t>
  </si>
  <si>
    <t>PAY00231</t>
  </si>
  <si>
    <t>PAY00232</t>
  </si>
  <si>
    <t>PAY00233</t>
  </si>
  <si>
    <t>PAY00234</t>
  </si>
  <si>
    <t>PAY00235</t>
  </si>
  <si>
    <t>PAY00236</t>
  </si>
  <si>
    <t>PAY00237</t>
  </si>
  <si>
    <t>PAY00238</t>
  </si>
  <si>
    <t>PAY00239</t>
  </si>
  <si>
    <t>PAY00240</t>
  </si>
  <si>
    <t>PAT: MNED FATMA</t>
  </si>
  <si>
    <t>PAT: BEN YOUNES SAMIRA</t>
  </si>
  <si>
    <t>BEN YOUNES SAMIRA</t>
  </si>
  <si>
    <t>PAT: SAID ZEINEB VVE AMOR</t>
  </si>
  <si>
    <t>FEHA FORMMULE MTA DATE LYOUM</t>
  </si>
  <si>
    <t>VNI : DEVILBISS ST  SN : LS201390  + MASQUE  F20 RESMED ( L )   DATE FIN : 28/02/2026</t>
  </si>
  <si>
    <t>APP0166</t>
  </si>
  <si>
    <t>OUESLATI ABDELATIF</t>
  </si>
  <si>
    <t>PAT: OUSSLETA ABDELATIF</t>
  </si>
  <si>
    <t>FEMME</t>
  </si>
  <si>
    <t>PERSONNELLE</t>
  </si>
  <si>
    <t>N°0059260734/34</t>
  </si>
  <si>
    <t>APP0167</t>
  </si>
  <si>
    <t>APP0168</t>
  </si>
  <si>
    <t>APP0169</t>
  </si>
  <si>
    <t>APP0170</t>
  </si>
  <si>
    <t>APP0171</t>
  </si>
  <si>
    <t>APP0172</t>
  </si>
  <si>
    <t>APP0173</t>
  </si>
  <si>
    <t>APP0174</t>
  </si>
  <si>
    <t>APP0175</t>
  </si>
  <si>
    <t>APP0176</t>
  </si>
  <si>
    <t>APP0177</t>
  </si>
  <si>
    <t>APP0178</t>
  </si>
  <si>
    <t>BEN MANSOUR BAHIJA</t>
  </si>
  <si>
    <t>MOHAMED</t>
  </si>
  <si>
    <t>DATE D INSTALLATION 20/08/2025     CONCENTRATEUR OXY : YUWELL 5L   SN : 20241125114</t>
  </si>
  <si>
    <t>PAT: BEN MANSOUR BAHIJA</t>
  </si>
  <si>
    <t>PAT: CHAHED JALEL</t>
  </si>
  <si>
    <t>PAT: FATNASSI NAYEB</t>
  </si>
  <si>
    <t>PAT: KASSOUMA NOUREDDINE</t>
  </si>
  <si>
    <t>PAT: OUESSLATI NOUREDDINE</t>
  </si>
  <si>
    <t>PAY00241</t>
  </si>
  <si>
    <t>PAY00242</t>
  </si>
  <si>
    <t>PAY00243</t>
  </si>
  <si>
    <t>PAY00244</t>
  </si>
  <si>
    <t>PAY00245</t>
  </si>
  <si>
    <t>PAY00246</t>
  </si>
  <si>
    <t>PAY00247</t>
  </si>
  <si>
    <t>PAY00248</t>
  </si>
  <si>
    <t>PAY00249</t>
  </si>
  <si>
    <t>PAY00250</t>
  </si>
  <si>
    <t>PAT: MAHJOUB MOHAMED</t>
  </si>
  <si>
    <t>PAT: HAMDI ABDALLAH</t>
  </si>
  <si>
    <r>
      <t xml:space="preserve">DATE INSTALLATION : 09/08/2025  DATE FIN : 08/09/2025  -- CONCENTRATEUR O2 5L : YUWELL (7F-5) SN 20240418194 ( payee 1 mois ) ///  DATE D INSTALLATION : 16/08/2024    VNI YUWELL SN YH820C*V22C50007  </t>
    </r>
    <r>
      <rPr>
        <b/>
        <sz val="12"/>
        <color rgb="FFFF0000"/>
        <rFont val="Calibri"/>
        <family val="2"/>
        <scheme val="minor"/>
      </rPr>
      <t>AJOUT PROLONGATEUR 7,6 M</t>
    </r>
    <r>
      <rPr>
        <b/>
        <sz val="12"/>
        <color theme="1"/>
        <rFont val="Calibri"/>
        <family val="2"/>
        <scheme val="minor"/>
      </rPr>
      <t xml:space="preserve"> </t>
    </r>
  </si>
  <si>
    <t>YH820C*V22C50007</t>
  </si>
  <si>
    <t>PAT : AOUICHAOUI SALAH</t>
  </si>
  <si>
    <t>PAY00251</t>
  </si>
  <si>
    <t>PAY00252</t>
  </si>
  <si>
    <t>PAY00253</t>
  </si>
  <si>
    <t>PAY00254</t>
  </si>
  <si>
    <t>PAY00255</t>
  </si>
  <si>
    <t>PAY00256</t>
  </si>
  <si>
    <t>PAY00257</t>
  </si>
  <si>
    <t>PAT: MKHININI KAMEL</t>
  </si>
  <si>
    <t>PAT: ABDERAZZEK BOUASKER</t>
  </si>
  <si>
    <t>PAY00258</t>
  </si>
  <si>
    <t>PAY00259</t>
  </si>
  <si>
    <t>PAY00260</t>
  </si>
  <si>
    <t>PAY00261</t>
  </si>
  <si>
    <t>PAY00262</t>
  </si>
  <si>
    <t>PAY00263</t>
  </si>
  <si>
    <t>PAY00264</t>
  </si>
  <si>
    <t>PAY00265</t>
  </si>
  <si>
    <t>PAY00266</t>
  </si>
  <si>
    <t>PAT: OUAJA HEDI</t>
  </si>
  <si>
    <t>RENOUVELLEMENT</t>
  </si>
  <si>
    <t>KSSOUMA NOUREDDINE</t>
  </si>
  <si>
    <t>APP0179</t>
  </si>
  <si>
    <t>APP0180</t>
  </si>
  <si>
    <t>APP0181</t>
  </si>
  <si>
    <t>APP0182</t>
  </si>
  <si>
    <t>APP0183</t>
  </si>
  <si>
    <t>APP0184</t>
  </si>
  <si>
    <t>APP0185</t>
  </si>
  <si>
    <t>APP0186</t>
  </si>
  <si>
    <t>APP0187</t>
  </si>
  <si>
    <t>APP0188</t>
  </si>
  <si>
    <t>APP0189</t>
  </si>
  <si>
    <t>APP0190</t>
  </si>
  <si>
    <t>APP0191</t>
  </si>
  <si>
    <t>APP0192</t>
  </si>
  <si>
    <t>APP0193</t>
  </si>
  <si>
    <t>APP0194</t>
  </si>
  <si>
    <t>APP0195</t>
  </si>
  <si>
    <t>APP0196</t>
  </si>
  <si>
    <t>APP0197</t>
  </si>
  <si>
    <t>APP0198</t>
  </si>
  <si>
    <t>APP0199</t>
  </si>
  <si>
    <t>APP0200</t>
  </si>
  <si>
    <t>APP0201</t>
  </si>
  <si>
    <t>APP0202</t>
  </si>
  <si>
    <t>APP0203</t>
  </si>
  <si>
    <t>PAT: KHAMMERI AMOR</t>
  </si>
  <si>
    <t>HAMDI TAHA HOUCEINE</t>
  </si>
  <si>
    <t>N°5556699/0</t>
  </si>
  <si>
    <t>YH830A-V24927015</t>
  </si>
  <si>
    <t>PAT: MAALAOUI NOUREDDINE</t>
  </si>
  <si>
    <t>PAY00267</t>
  </si>
  <si>
    <t>PAY00268</t>
  </si>
  <si>
    <t>PAY00269</t>
  </si>
  <si>
    <t>PAY00270</t>
  </si>
  <si>
    <t>PAY00271</t>
  </si>
  <si>
    <t>PAY00272</t>
  </si>
  <si>
    <t>PAY00273</t>
  </si>
  <si>
    <t>PAY00274</t>
  </si>
  <si>
    <t>PAY00275</t>
  </si>
  <si>
    <t>PAY00276</t>
  </si>
  <si>
    <t>PAT: TURKIA EL AJMI</t>
  </si>
  <si>
    <t>PAT : BOUAJILA TAHER</t>
  </si>
  <si>
    <t>N°0033858353/53</t>
  </si>
  <si>
    <r>
      <t xml:space="preserve">DATE D INSTALATION : 06/08/2025  CONCENTRATEUR OXY 5 LITRE : YUWEL  SN 20240418018                     </t>
    </r>
    <r>
      <rPr>
        <b/>
        <sz val="12"/>
        <color rgb="FFFF0000"/>
        <rFont val="Calibri"/>
        <family val="2"/>
        <scheme val="minor"/>
      </rPr>
      <t xml:space="preserve">   EN ATT CNAM</t>
    </r>
  </si>
  <si>
    <t>PAT: KHALIJI AMEUR</t>
  </si>
  <si>
    <t>PAT: MIRAOUI MARAM ACHA</t>
  </si>
  <si>
    <t>N°02836323</t>
  </si>
  <si>
    <t>AIN DHAKER 4030 ENFIDHA SOUSSE</t>
  </si>
  <si>
    <t>N°00533896/00</t>
  </si>
  <si>
    <t>YUWELL   ST</t>
  </si>
  <si>
    <r>
      <t xml:space="preserve">DATE D INSTALATION : 30/04/2025  VNI : YUWELL ST  SN: YH820-V22C50015 + MASDQUE YF02 ( L )      </t>
    </r>
    <r>
      <rPr>
        <b/>
        <sz val="12"/>
        <color rgb="FFFF0000"/>
        <rFont val="Calibri"/>
        <family val="2"/>
        <scheme val="minor"/>
      </rPr>
      <t xml:space="preserve">  RDV 28/08/2025</t>
    </r>
  </si>
  <si>
    <t>YH820-V22C50015</t>
  </si>
  <si>
    <t>ENT 20/08/2025</t>
  </si>
  <si>
    <t>PAT: GHARSSA MOULDI</t>
  </si>
  <si>
    <t>PAT: BOUHLEL SAMIR</t>
  </si>
  <si>
    <t xml:space="preserve">LOUER </t>
  </si>
  <si>
    <t>PAT: HNAIEN ABELFATTAH</t>
  </si>
  <si>
    <t>PAY00277</t>
  </si>
  <si>
    <t>PAY00278</t>
  </si>
  <si>
    <t>PAY00279</t>
  </si>
  <si>
    <t>AIR LIQUIDE  (B5)</t>
  </si>
  <si>
    <t>AIR LIQUIDE  (GRAND B5)</t>
  </si>
  <si>
    <t>PAT : AMIMI</t>
  </si>
  <si>
    <t>PAT: OUNI NEJMA</t>
  </si>
  <si>
    <t>PAY00280</t>
  </si>
  <si>
    <t>PAY00281</t>
  </si>
  <si>
    <t>PAY00282</t>
  </si>
  <si>
    <t>PAY00283</t>
  </si>
  <si>
    <t>BOUJOMAA BRAHIM</t>
  </si>
  <si>
    <t>HAMMEM SOUSSE PRES CAFEE DIESEL</t>
  </si>
  <si>
    <t>PAT: BOUJOMAA BRAHIM</t>
  </si>
  <si>
    <r>
      <t xml:space="preserve">DATE D INSTALLATION 20/08/2025     CONCENTRATEUR OXY : YUWELL 10L   SN : 24031320043  DATE FIN 04/09/2025  </t>
    </r>
    <r>
      <rPr>
        <b/>
        <sz val="12"/>
        <color rgb="FFFF0000"/>
        <rFont val="Calibri"/>
        <family val="2"/>
        <scheme val="minor"/>
      </rPr>
      <t>(LOCATION 2 SEMAINE PAYEE 200DT)</t>
    </r>
  </si>
  <si>
    <t>N°4368898</t>
  </si>
  <si>
    <t>PAY00284</t>
  </si>
  <si>
    <t xml:space="preserve"> EL ALEM SBIKHA KAIROUAN</t>
  </si>
  <si>
    <t>97 326 679 NAJIB</t>
  </si>
  <si>
    <t>98 317 244FAOUZI</t>
  </si>
  <si>
    <t>N°0017797779/79</t>
  </si>
  <si>
    <t>CONCENTRATEUR O2:  YUWELL 5L SN: 20240418189  /// VNI: DEVILBISS ST -- SN: LS204211</t>
  </si>
  <si>
    <t>PAT: DHOUIB MOHAMED HASSEN</t>
  </si>
  <si>
    <t>DEVILBISS  ST</t>
  </si>
  <si>
    <t>LS204211</t>
  </si>
  <si>
    <t>N°04082773</t>
  </si>
  <si>
    <t>N°11100582/01</t>
  </si>
  <si>
    <t>NOM PATIENT</t>
  </si>
  <si>
    <t>DEVILBISS   ST</t>
  </si>
  <si>
    <t>LS204197</t>
  </si>
  <si>
    <t>TECHNICIEN RESPONSABLE</t>
  </si>
  <si>
    <t>DEVILBISS  5 LITRE</t>
  </si>
  <si>
    <t>RUE ALI BEN ABI TALEB BOUHSSINA SOUSSE</t>
  </si>
  <si>
    <t>LS005368</t>
  </si>
  <si>
    <t>PAY00285</t>
  </si>
  <si>
    <t>N°0088010019</t>
  </si>
  <si>
    <t>ENT 21/08/2025</t>
  </si>
  <si>
    <t>PAT: FITOURI OTHMEN</t>
  </si>
  <si>
    <r>
      <t xml:space="preserve">DATE D INSTALLATION : 15/05/2025 / DATE FIN 14/08/2025 CONCENTRATEUR OXY : YUWELL 5L  SN: 20241125181 + BOUTEUIL LINDE GAZ ( 25/06/2025 )    </t>
    </r>
    <r>
      <rPr>
        <b/>
        <sz val="12"/>
        <color rgb="FFFF0000"/>
        <rFont val="Calibri"/>
        <family val="2"/>
        <scheme val="minor"/>
      </rPr>
      <t xml:space="preserve"> ATT RDV</t>
    </r>
  </si>
  <si>
    <t>ATTENTE RDV</t>
  </si>
  <si>
    <t>FIN LE 14/08/2025</t>
  </si>
  <si>
    <t>PAY00286</t>
  </si>
  <si>
    <r>
      <rPr>
        <b/>
        <sz val="12"/>
        <color theme="1"/>
        <rFont val="Calibri"/>
        <family val="2"/>
        <scheme val="minor"/>
      </rPr>
      <t>DATE D INSTALLATION: 13/05/2020    VNI :  DEVILBISS ST  --- SN: LS005368 + MASQUE AIR FIT F20</t>
    </r>
    <r>
      <rPr>
        <b/>
        <sz val="12"/>
        <color theme="5" tint="-0.249977111117893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RESMED</t>
    </r>
    <r>
      <rPr>
        <b/>
        <sz val="12"/>
        <color theme="5" tint="-0.249977111117893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DATE FIN 10/01/2026 </t>
    </r>
    <r>
      <rPr>
        <b/>
        <sz val="12"/>
        <color theme="5" tint="-0.249977111117893"/>
        <rFont val="Calibri"/>
        <family val="2"/>
        <scheme val="minor"/>
      </rPr>
      <t xml:space="preserve">                                                                                                          RECUE BON DE LOCATION  ( BL ) LE 19/08/2025</t>
    </r>
  </si>
  <si>
    <t>PAY00287</t>
  </si>
  <si>
    <t>LOCATION BOUTEUIL O2 LE 21/08/2025 POUR 1J PAYEE 70DT</t>
  </si>
  <si>
    <t>BEN FRADJ HAFEDH</t>
  </si>
  <si>
    <t>N°06823835</t>
  </si>
  <si>
    <t>77 ANS</t>
  </si>
  <si>
    <t>MANZEL HAYET</t>
  </si>
  <si>
    <t>NOURA</t>
  </si>
  <si>
    <t>LOCATION BOUTEUIL O2 LE 21/08/2025 POUR 2H PAYEE 80DT</t>
  </si>
  <si>
    <t>PAY00288</t>
  </si>
  <si>
    <t>N°01063519/00</t>
  </si>
  <si>
    <t>RESMED S9 ST</t>
  </si>
  <si>
    <r>
      <t xml:space="preserve">CONCENTRATEUR O2 ( </t>
    </r>
    <r>
      <rPr>
        <b/>
        <sz val="12"/>
        <color theme="5" tint="-0.249977111117893"/>
        <rFont val="Calibri"/>
        <family val="2"/>
        <scheme val="minor"/>
      </rPr>
      <t>DI</t>
    </r>
    <r>
      <rPr>
        <b/>
        <sz val="12"/>
        <color theme="1"/>
        <rFont val="Calibri"/>
        <family val="2"/>
        <scheme val="minor"/>
      </rPr>
      <t xml:space="preserve">: 09/01/2024 </t>
    </r>
    <r>
      <rPr>
        <b/>
        <sz val="12"/>
        <color theme="5" tint="-0.249977111117893"/>
        <rFont val="Calibri"/>
        <family val="2"/>
        <scheme val="minor"/>
      </rPr>
      <t>DF</t>
    </r>
    <r>
      <rPr>
        <b/>
        <sz val="12"/>
        <color theme="1"/>
        <rFont val="Calibri"/>
        <family val="2"/>
        <scheme val="minor"/>
      </rPr>
      <t xml:space="preserve"> 02/09/2025 ) : YUWELL 5L SN: 20240418109   //// VNI ( </t>
    </r>
    <r>
      <rPr>
        <b/>
        <sz val="12"/>
        <color theme="5" tint="-0.249977111117893"/>
        <rFont val="Calibri"/>
        <family val="2"/>
        <scheme val="minor"/>
      </rPr>
      <t>DI</t>
    </r>
    <r>
      <rPr>
        <b/>
        <sz val="12"/>
        <color theme="1"/>
        <rFont val="Calibri"/>
        <family val="2"/>
        <scheme val="minor"/>
      </rPr>
      <t xml:space="preserve">: 09/01/2024   </t>
    </r>
    <r>
      <rPr>
        <b/>
        <sz val="12"/>
        <color theme="5" tint="-0.249977111117893"/>
        <rFont val="Calibri"/>
        <family val="2"/>
        <scheme val="minor"/>
      </rPr>
      <t>DF</t>
    </r>
    <r>
      <rPr>
        <b/>
        <sz val="12"/>
        <color theme="1"/>
        <rFont val="Calibri"/>
        <family val="2"/>
        <scheme val="minor"/>
      </rPr>
      <t xml:space="preserve">: 02/12/2025 )  : RESMED S9 ST  SN: 22121363700 +  MASQUE YF-01 M   </t>
    </r>
    <r>
      <rPr>
        <b/>
        <sz val="12"/>
        <color rgb="FFFF0000"/>
        <rFont val="Calibri"/>
        <family val="2"/>
        <scheme val="minor"/>
      </rPr>
      <t xml:space="preserve"> RDV LE 31/12/2025</t>
    </r>
  </si>
  <si>
    <t>N°05594117</t>
  </si>
  <si>
    <t>IMPASSE ETTAMIR 4081 ZAOUIET SOUSSE</t>
  </si>
  <si>
    <t>N°0084163866/66</t>
  </si>
  <si>
    <r>
      <t xml:space="preserve">VNI ( </t>
    </r>
    <r>
      <rPr>
        <b/>
        <sz val="12"/>
        <color theme="5" tint="-0.249977111117893"/>
        <rFont val="Calibri"/>
        <family val="2"/>
        <scheme val="minor"/>
      </rPr>
      <t>DI</t>
    </r>
    <r>
      <rPr>
        <b/>
        <sz val="12"/>
        <color theme="1"/>
        <rFont val="Calibri"/>
        <family val="2"/>
        <scheme val="minor"/>
      </rPr>
      <t xml:space="preserve">: 24/01/2025  </t>
    </r>
    <r>
      <rPr>
        <b/>
        <sz val="12"/>
        <color theme="5" tint="-0.249977111117893"/>
        <rFont val="Calibri"/>
        <family val="2"/>
        <scheme val="minor"/>
      </rPr>
      <t>DF</t>
    </r>
    <r>
      <rPr>
        <b/>
        <sz val="12"/>
        <color theme="1"/>
        <rFont val="Calibri"/>
        <family val="2"/>
        <scheme val="minor"/>
      </rPr>
      <t xml:space="preserve">: 30/05/2025 )  YUWELL ST  SN: YH830A-V24614001 + MASQUE YF-02 (L)     </t>
    </r>
    <r>
      <rPr>
        <b/>
        <sz val="12"/>
        <color rgb="FFFF0000"/>
        <rFont val="Calibri"/>
        <family val="2"/>
        <scheme val="minor"/>
      </rPr>
      <t>ATT CNAM</t>
    </r>
  </si>
  <si>
    <t>N°00946946/46</t>
  </si>
  <si>
    <t>YUWELL     ( 10L )</t>
  </si>
  <si>
    <r>
      <t>CONCENTRATEUR O2 : (</t>
    </r>
    <r>
      <rPr>
        <b/>
        <sz val="12"/>
        <color theme="5" tint="-0.249977111117893"/>
        <rFont val="Calibri"/>
        <family val="2"/>
        <scheme val="minor"/>
      </rPr>
      <t xml:space="preserve"> DI</t>
    </r>
    <r>
      <rPr>
        <b/>
        <sz val="12"/>
        <color theme="1"/>
        <rFont val="Calibri"/>
        <family val="2"/>
        <scheme val="minor"/>
      </rPr>
      <t xml:space="preserve">: 20/02/2025   </t>
    </r>
    <r>
      <rPr>
        <b/>
        <sz val="12"/>
        <color theme="5" tint="-0.249977111117893"/>
        <rFont val="Calibri"/>
        <family val="2"/>
        <scheme val="minor"/>
      </rPr>
      <t>DF</t>
    </r>
    <r>
      <rPr>
        <b/>
        <sz val="12"/>
        <color theme="1"/>
        <rFont val="Calibri"/>
        <family val="2"/>
        <scheme val="minor"/>
      </rPr>
      <t xml:space="preserve">: 21/10/2025 )  YUWELL (10L)  SN: 24031320042    </t>
    </r>
    <r>
      <rPr>
        <b/>
        <sz val="12"/>
        <color rgb="FFFF0000"/>
        <rFont val="Calibri"/>
        <family val="2"/>
        <scheme val="minor"/>
      </rPr>
      <t>RECUE BL LE 21/08/2025 ( ACHRAF ) /// a compter du 22/07/2025  FIN DATE OXY 21/10/2025</t>
    </r>
    <r>
      <rPr>
        <b/>
        <sz val="12"/>
        <color theme="1"/>
        <rFont val="Calibri"/>
        <family val="2"/>
        <scheme val="minor"/>
      </rPr>
      <t xml:space="preserve">   RDV 15/09/2025</t>
    </r>
  </si>
  <si>
    <t>RDV LE 15/09/2025</t>
  </si>
  <si>
    <t>CIPAP TITRATION</t>
  </si>
  <si>
    <t>YH-680A24C100023</t>
  </si>
  <si>
    <t>STOCK BUREAU</t>
  </si>
  <si>
    <t>entree 22/08/2025</t>
  </si>
  <si>
    <t>PAT: ZAABAAR ZEINEB</t>
  </si>
  <si>
    <t xml:space="preserve">5 RUE HABIB BOUGUATFA 4011 HAMMEM SOUSSE </t>
  </si>
  <si>
    <r>
      <t xml:space="preserve">CONCENTRATEUR O2 ( DI: 20/02/2019 DF 08/08/2025 ) : AIR SEP ELITE  5L SN: BUB0117030185   //// VNI ( DI: 26/01/2019   DF: 08/08/2025 )  : YUWELL  ST  SN: YH830A-V24614010  </t>
    </r>
    <r>
      <rPr>
        <b/>
        <sz val="12"/>
        <color rgb="FFFF0000"/>
        <rFont val="Calibri"/>
        <family val="2"/>
        <scheme val="minor"/>
      </rPr>
      <t xml:space="preserve"> RDV LE 29/10/2025</t>
    </r>
  </si>
  <si>
    <t>YUWELL  ST</t>
  </si>
  <si>
    <t>YH830A-V24614010</t>
  </si>
  <si>
    <t>PAT: LOUATI SALEM</t>
  </si>
  <si>
    <t>ELITE AIR SEP ( 5 LITRE )</t>
  </si>
  <si>
    <t>BUB0117030185</t>
  </si>
  <si>
    <t>N°06345261</t>
  </si>
  <si>
    <r>
      <t xml:space="preserve">CONCENTRATEUR O2 ( DI: 30/06/2025  DF: 29/08/2025 )  DEVILBISS 5 LITRE   SN : B209100045KS   </t>
    </r>
    <r>
      <rPr>
        <b/>
        <sz val="12"/>
        <color rgb="FFFF0000"/>
        <rFont val="Calibri"/>
        <family val="2"/>
        <scheme val="minor"/>
      </rPr>
      <t>PAIEMENT ESPECE</t>
    </r>
  </si>
  <si>
    <t>B209100045KS</t>
  </si>
  <si>
    <t>N°01139734/00</t>
  </si>
  <si>
    <r>
      <t xml:space="preserve">CONCENTRATEUR O2 ( </t>
    </r>
    <r>
      <rPr>
        <b/>
        <sz val="12"/>
        <color theme="5" tint="-0.499984740745262"/>
        <rFont val="Calibri"/>
        <family val="2"/>
        <scheme val="minor"/>
      </rPr>
      <t>DI</t>
    </r>
    <r>
      <rPr>
        <b/>
        <sz val="12"/>
        <color theme="1"/>
        <rFont val="Calibri"/>
        <family val="2"/>
        <scheme val="minor"/>
      </rPr>
      <t xml:space="preserve">: 12/02/2025  </t>
    </r>
    <r>
      <rPr>
        <b/>
        <sz val="12"/>
        <color theme="5" tint="-0.499984740745262"/>
        <rFont val="Calibri"/>
        <family val="2"/>
        <scheme val="minor"/>
      </rPr>
      <t>DF</t>
    </r>
    <r>
      <rPr>
        <b/>
        <sz val="12"/>
        <color theme="1"/>
        <rFont val="Calibri"/>
        <family val="2"/>
        <scheme val="minor"/>
      </rPr>
      <t xml:space="preserve">: 15/09/2025 )   YUWELL 5LITRE  SN: 20240418022   // VNI ( </t>
    </r>
    <r>
      <rPr>
        <b/>
        <sz val="12"/>
        <color theme="5" tint="-0.499984740745262"/>
        <rFont val="Calibri"/>
        <family val="2"/>
        <scheme val="minor"/>
      </rPr>
      <t>DI</t>
    </r>
    <r>
      <rPr>
        <b/>
        <sz val="12"/>
        <color theme="1"/>
        <rFont val="Calibri"/>
        <family val="2"/>
        <scheme val="minor"/>
      </rPr>
      <t xml:space="preserve">: 15/01/2025  </t>
    </r>
    <r>
      <rPr>
        <b/>
        <sz val="12"/>
        <color theme="5" tint="-0.499984740745262"/>
        <rFont val="Calibri"/>
        <family val="2"/>
        <scheme val="minor"/>
      </rPr>
      <t>DF</t>
    </r>
    <r>
      <rPr>
        <b/>
        <sz val="12"/>
        <color theme="1"/>
        <rFont val="Calibri"/>
        <family val="2"/>
        <scheme val="minor"/>
      </rPr>
      <t xml:space="preserve">:15/12/2025 )  YUWELL ST  SN: YH830A-V24309011  + MASQUE YF-02 (M) </t>
    </r>
  </si>
  <si>
    <t>YH830A-V24309011</t>
  </si>
  <si>
    <t xml:space="preserve">YUWELL     ST      </t>
  </si>
  <si>
    <t>20/02/</t>
  </si>
  <si>
    <r>
      <t xml:space="preserve">CONCENTRATEUR O2 ( </t>
    </r>
    <r>
      <rPr>
        <b/>
        <sz val="12"/>
        <color theme="5" tint="-0.499984740745262"/>
        <rFont val="Calibri"/>
        <family val="2"/>
        <scheme val="minor"/>
      </rPr>
      <t>DI</t>
    </r>
    <r>
      <rPr>
        <b/>
        <sz val="12"/>
        <color theme="1"/>
        <rFont val="Calibri"/>
        <family val="2"/>
        <scheme val="minor"/>
      </rPr>
      <t xml:space="preserve">: 31/07/2023 </t>
    </r>
    <r>
      <rPr>
        <b/>
        <sz val="12"/>
        <color theme="5" tint="-0.499984740745262"/>
        <rFont val="Calibri"/>
        <family val="2"/>
        <scheme val="minor"/>
      </rPr>
      <t xml:space="preserve"> DF</t>
    </r>
    <r>
      <rPr>
        <b/>
        <sz val="12"/>
        <color theme="1"/>
        <rFont val="Calibri"/>
        <family val="2"/>
        <scheme val="minor"/>
      </rPr>
      <t xml:space="preserve">: 28/08/2025 )  YUWELL 5L   SN: 20240120002  ///VNI ( DI: 31/07/2023 DF: 11/08/2025 ) DEVILBISS ST  SN: LS201406 + MASQUE YF-02 (L) // BOUTEUIL LINDE GAZ    </t>
    </r>
    <r>
      <rPr>
        <b/>
        <sz val="12"/>
        <color rgb="FFFF0000"/>
        <rFont val="Calibri"/>
        <family val="2"/>
        <scheme val="minor"/>
      </rPr>
      <t>RDV LE 27/08/2025</t>
    </r>
  </si>
  <si>
    <t>YUWELL    (5L)</t>
  </si>
  <si>
    <t>LS201406</t>
  </si>
  <si>
    <t>PAT: DHOU SLIMANE</t>
  </si>
  <si>
    <t>PAT: DHAOU SLIMANE</t>
  </si>
  <si>
    <t>VNI  + BOUTEUIL APP0189</t>
  </si>
  <si>
    <t>RDV LE 27/08/2025</t>
  </si>
  <si>
    <t>LE 25/08/2025</t>
  </si>
  <si>
    <t>LE 10/09/2025</t>
  </si>
  <si>
    <t>RDV LE 31/12/2025</t>
  </si>
  <si>
    <t>LE 25/12/2025</t>
  </si>
  <si>
    <t>CONCENTRATEUR O2+BO2 APP0187</t>
  </si>
  <si>
    <t>ANNULER</t>
  </si>
  <si>
    <t xml:space="preserve">DATE ENTREE </t>
  </si>
  <si>
    <t>DATE  SORTIE</t>
  </si>
  <si>
    <t xml:space="preserve">CHARGE </t>
  </si>
  <si>
    <t>BEKALTA  (port hotel )</t>
  </si>
  <si>
    <t>N°0017910341/41</t>
  </si>
  <si>
    <t>CONCENTRATEUR O2 ( DI: 19/11/2024  DF: 02/07/2025 ) YUWELL 5L   SN: 20240120094  /// VNI ( DI : 19/11/2024  DF: 22/07/2025 ) YUWELL YH820C-V22C50007   + BOUTEUIL LINDE GAZ</t>
  </si>
  <si>
    <t xml:space="preserve">YUWELL     (5L) </t>
  </si>
  <si>
    <t>YH820C-V22C50007</t>
  </si>
  <si>
    <t>VNI + BOUTEUIL APP0190</t>
  </si>
  <si>
    <t xml:space="preserve">RUE ABOU ELFADHEL EL ANDALOUSI 4023 CITE ERRIADH  </t>
  </si>
  <si>
    <t>ELITE AIR SEP ( 10 LITRE )</t>
  </si>
  <si>
    <r>
      <t xml:space="preserve">CONCENTRATEUR O2 ( DI : 07/06/2023  DF : 17/10/2025 )  ELITE AIR SEP  (10L)  SN: CBB0121170019     RECUE BON DE LOCATION  ( BL ) LE 21/08/2025 ACHRAF  A COMPTER DU 18/07/2025    </t>
    </r>
    <r>
      <rPr>
        <b/>
        <sz val="12"/>
        <color theme="5" tint="-0.249977111117893"/>
        <rFont val="Calibri"/>
        <family val="2"/>
        <scheme val="minor"/>
      </rPr>
      <t>DATE FIN OXY LE 17/10/2025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  RDV LE 25/12/2025</t>
    </r>
  </si>
  <si>
    <t>CBB0121170019</t>
  </si>
  <si>
    <r>
      <t xml:space="preserve">VNI ( </t>
    </r>
    <r>
      <rPr>
        <b/>
        <sz val="12"/>
        <color theme="5" tint="-0.249977111117893"/>
        <rFont val="Calibri"/>
        <family val="2"/>
        <scheme val="minor"/>
      </rPr>
      <t>DI</t>
    </r>
    <r>
      <rPr>
        <b/>
        <sz val="12"/>
        <color theme="1"/>
        <rFont val="Calibri"/>
        <family val="2"/>
        <scheme val="minor"/>
      </rPr>
      <t xml:space="preserve">: 04/08/2025  </t>
    </r>
    <r>
      <rPr>
        <b/>
        <sz val="12"/>
        <color theme="5" tint="-0.249977111117893"/>
        <rFont val="Calibri"/>
        <family val="2"/>
        <scheme val="minor"/>
      </rPr>
      <t>DF</t>
    </r>
    <r>
      <rPr>
        <b/>
        <sz val="12"/>
        <color theme="1"/>
        <rFont val="Calibri"/>
        <family val="2"/>
        <scheme val="minor"/>
      </rPr>
      <t xml:space="preserve">: 04/09/2025 ) --  YUWELL ST  SN:  YH830A-V24309010  + MASQUE YF-02L                      </t>
    </r>
    <r>
      <rPr>
        <b/>
        <sz val="12"/>
        <color rgb="FFFF0000"/>
        <rFont val="Calibri"/>
        <family val="2"/>
        <scheme val="minor"/>
      </rPr>
      <t xml:space="preserve">    PAYEE 450DT</t>
    </r>
  </si>
  <si>
    <t>BEN LETAIEF MOHAMED SALAH</t>
  </si>
  <si>
    <t>N°05541536</t>
  </si>
  <si>
    <t>CZ STE GA RUE 20 MARS 4060 KALAA KEBIRA</t>
  </si>
  <si>
    <t>SOUHIR SA FEMME</t>
  </si>
  <si>
    <t>N°12107099/01</t>
  </si>
  <si>
    <t>PAT: NAFFATI NOUREDDINE</t>
  </si>
  <si>
    <t>PAT: BEN ELTAIEF MOHAMED SALEH</t>
  </si>
  <si>
    <t>NAFFATI NOUREDDINE</t>
  </si>
  <si>
    <t>SON COUSIN</t>
  </si>
  <si>
    <t>N°1310550/0</t>
  </si>
  <si>
    <t xml:space="preserve">CPAP TITRATION </t>
  </si>
  <si>
    <t>RESMED</t>
  </si>
  <si>
    <t xml:space="preserve"> num de serie des appareils </t>
  </si>
  <si>
    <t>PAT: MOHAMED CHTIOUI</t>
  </si>
  <si>
    <t>PAY00289</t>
  </si>
  <si>
    <t>DEPOSER DOSSEIR LE 03/08/2025</t>
  </si>
  <si>
    <t>O2APP0192</t>
  </si>
  <si>
    <t>VNIAPP0193</t>
  </si>
  <si>
    <t>YH-725V23C68012</t>
  </si>
  <si>
    <t>PAT: DRIDI MANNOUBI</t>
  </si>
  <si>
    <t>LOC0160</t>
  </si>
  <si>
    <t>LOC0161</t>
  </si>
  <si>
    <t>LOC0162</t>
  </si>
  <si>
    <t>LOC0163</t>
  </si>
  <si>
    <t>LOC0164</t>
  </si>
  <si>
    <t>LOC0165</t>
  </si>
  <si>
    <t>LOC0166</t>
  </si>
  <si>
    <t>LOC0167</t>
  </si>
  <si>
    <t>LOC0168</t>
  </si>
  <si>
    <t>LOC0169</t>
  </si>
  <si>
    <t>LOC0170</t>
  </si>
  <si>
    <t>PAY00290</t>
  </si>
  <si>
    <t>YH-720A-V23C68018</t>
  </si>
  <si>
    <t>PAT: BAYA KOCHBATI</t>
  </si>
  <si>
    <t>CONCENTRATEUR O2 5L : ( DI: 20/05/2025  DF: 25/08/2025 ) DEVILBISS   SN: *****    (NOURI IRIS NECESSITE CHANGEMENT)</t>
  </si>
  <si>
    <t>O2APP0196</t>
  </si>
  <si>
    <t>PAT : NAHDI ALI</t>
  </si>
  <si>
    <t>PAY00291</t>
  </si>
  <si>
    <t>PAY00292</t>
  </si>
  <si>
    <t>LS008775</t>
  </si>
  <si>
    <t>PAT: DJEMILI MOHAMED</t>
  </si>
  <si>
    <t>PAY00293</t>
  </si>
  <si>
    <t>O2APP0198</t>
  </si>
  <si>
    <t>PAT: JOUINI HOUCEIN</t>
  </si>
  <si>
    <t>PAY00294</t>
  </si>
  <si>
    <r>
      <t>VNI (</t>
    </r>
    <r>
      <rPr>
        <b/>
        <sz val="12"/>
        <color theme="5" tint="-0.499984740745262"/>
        <rFont val="Calibri"/>
        <family val="2"/>
        <scheme val="minor"/>
      </rPr>
      <t xml:space="preserve"> DI</t>
    </r>
    <r>
      <rPr>
        <b/>
        <sz val="12"/>
        <color theme="1"/>
        <rFont val="Calibri"/>
        <family val="2"/>
        <scheme val="minor"/>
      </rPr>
      <t xml:space="preserve">: 19/05/2025  </t>
    </r>
    <r>
      <rPr>
        <b/>
        <sz val="12"/>
        <color theme="5" tint="-0.499984740745262"/>
        <rFont val="Calibri"/>
        <family val="2"/>
        <scheme val="minor"/>
      </rPr>
      <t>DF</t>
    </r>
    <r>
      <rPr>
        <b/>
        <sz val="12"/>
        <color theme="1"/>
        <rFont val="Calibri"/>
        <family val="2"/>
        <scheme val="minor"/>
      </rPr>
      <t>: 25/08/2025 )   DEVILBISS SN LS008775 + YN-03 L</t>
    </r>
  </si>
  <si>
    <r>
      <t xml:space="preserve">CONCENTRATEUR O2 5L ( </t>
    </r>
    <r>
      <rPr>
        <b/>
        <sz val="12"/>
        <color theme="5" tint="-0.499984740745262"/>
        <rFont val="Calibri"/>
        <family val="2"/>
        <scheme val="minor"/>
      </rPr>
      <t>DI</t>
    </r>
    <r>
      <rPr>
        <b/>
        <sz val="12"/>
        <color theme="1"/>
        <rFont val="Calibri"/>
        <family val="2"/>
        <scheme val="minor"/>
      </rPr>
      <t xml:space="preserve">: 09/06/2025   </t>
    </r>
    <r>
      <rPr>
        <b/>
        <sz val="12"/>
        <color theme="5" tint="-0.499984740745262"/>
        <rFont val="Calibri"/>
        <family val="2"/>
        <scheme val="minor"/>
      </rPr>
      <t>DF</t>
    </r>
    <r>
      <rPr>
        <b/>
        <sz val="12"/>
        <color theme="1"/>
        <rFont val="Calibri"/>
        <family val="2"/>
        <scheme val="minor"/>
      </rPr>
      <t>: 08/09/2025 )  DEVILBISS ( nouri )  SN: *****</t>
    </r>
  </si>
  <si>
    <r>
      <t xml:space="preserve"> RETOUR VNI </t>
    </r>
    <r>
      <rPr>
        <b/>
        <sz val="12"/>
        <color rgb="FFFF0000"/>
        <rFont val="Calibri"/>
        <family val="2"/>
        <scheme val="minor"/>
      </rPr>
      <t>SANS PAIEMENT</t>
    </r>
    <r>
      <rPr>
        <b/>
        <sz val="12"/>
        <color theme="1"/>
        <rFont val="Calibri"/>
        <family val="2"/>
        <scheme val="minor"/>
      </rPr>
      <t xml:space="preserve"> ( DI : 21/05/2025 DF: ***** )  YH-830A-V24927003 // CONCENTRATEUR O2 5 L : ( DI : 21/05/2025  DF: **** )  DEVILBISS SN : J750401KS (NOURI IRIS NECESSITE CHANGEMENT) EN ATTENTE PAIEMENT : COMPLEMENT DOSSIER CNAM </t>
    </r>
  </si>
  <si>
    <t xml:space="preserve"> J750401KS </t>
  </si>
  <si>
    <t>PAT: BOUBAKER ABDELKADER</t>
  </si>
  <si>
    <t>YH-830A-V24927003</t>
  </si>
  <si>
    <t>DEVILBISS  ( IRIS )   5 LITRE</t>
  </si>
  <si>
    <t>RETOUR SANS PAIEMENT</t>
  </si>
  <si>
    <t>PAY00295</t>
  </si>
  <si>
    <t>PAY00296</t>
  </si>
  <si>
    <t>PAY00297</t>
  </si>
  <si>
    <t>PAT: SAKET MOSTARI</t>
  </si>
  <si>
    <t>PAY00298</t>
  </si>
  <si>
    <t>PAT: AJRIA MED ATEF</t>
  </si>
  <si>
    <t xml:space="preserve">ATT PAIEMENT COMPLEMENT DOSSIER CNAM </t>
  </si>
  <si>
    <t>RETOUR VNI SANS PAIEMENT</t>
  </si>
  <si>
    <t>CONCENTRATEUR O2 5L : ( DI : : 03/07/2025  DF: **** )  YUWELL SN 20241125094 EN ATTENTE PAIEMENT : COMPLEMENT DOSSIER CNAM DEPOSER</t>
  </si>
  <si>
    <t xml:space="preserve">CONCENTRATEUR O2 5L : ( DI: : 13/06/2025  DF: **** )  YUWELL SN 20241125115 EN ATTENTE PAIEMENT : COMPLEMENT DOSSIER CNAM </t>
  </si>
  <si>
    <t xml:space="preserve">CONCENTRATEUR O2 5L : ( DI : 17/06/2025  DF: **** )   YUWELL SN:  20241125182  EN ATTENTE PAIEMENT : COMPLEMENT DOSSIER CNAM  </t>
  </si>
  <si>
    <t>PAT: AZZOUZI MOHAMED</t>
  </si>
  <si>
    <t>PAY00299</t>
  </si>
  <si>
    <t xml:space="preserve"> CONCENTRATEUR O2 5L : ( DI : 02/08/2025  DF: **** ) YUWELL SN 20241125019 // VNI ( DI : 02/08/2025  DF: **** )  DEVILBISS SN LS201255 + MASQUE YF-02 L -- DOSSIER DEPOSER 05/08/2025 EN INSTANCE </t>
  </si>
  <si>
    <t>APP0204</t>
  </si>
  <si>
    <t>APP0205</t>
  </si>
  <si>
    <t>PAT: MAHOUECHI FARHAT</t>
  </si>
  <si>
    <t>LS201255</t>
  </si>
  <si>
    <t>LOC0171</t>
  </si>
  <si>
    <t>PAY00300</t>
  </si>
  <si>
    <t>PAY00301</t>
  </si>
  <si>
    <t>DEPOSER DOSSIER LE 05/08/2025</t>
  </si>
  <si>
    <t>APP0206</t>
  </si>
  <si>
    <t xml:space="preserve">**** </t>
  </si>
  <si>
    <t>PAT: MAMI JAMEL</t>
  </si>
  <si>
    <t>LOC0172</t>
  </si>
  <si>
    <t>PAY00302</t>
  </si>
  <si>
    <t>DEPOSER DOSSIER LE 06/08/2025</t>
  </si>
  <si>
    <r>
      <t xml:space="preserve"> CONCENTRATEUR O2 5L : ( DI : 05/08/2025   DF: ****  ) YUWELL SN 20241125120 -- DOSSIER CNAM DEPOSER 06/08/2025         </t>
    </r>
    <r>
      <rPr>
        <b/>
        <sz val="12"/>
        <color rgb="FFFF0000"/>
        <rFont val="Calibri"/>
        <family val="2"/>
        <scheme val="minor"/>
      </rPr>
      <t xml:space="preserve">  RECUE BL 1 TRANCHE ( 1 MOIS)</t>
    </r>
  </si>
  <si>
    <t>MEMI JAMEL</t>
  </si>
  <si>
    <t xml:space="preserve"> VNI : ( DI: : 30/05/2025  DF: **** )  DEVILBISS SN KS010132 -- COMPLEMENT DE PIECE DEPOSER </t>
  </si>
  <si>
    <t>KS010132</t>
  </si>
  <si>
    <t>APP0207</t>
  </si>
  <si>
    <t>PAT: AHMED SHILI</t>
  </si>
  <si>
    <t>LOC0173</t>
  </si>
  <si>
    <t>PAY00303</t>
  </si>
  <si>
    <t>COMPLEMENT DE PIECE DEPOSER</t>
  </si>
  <si>
    <t xml:space="preserve">VNI : ( DI: 26/07/2025   DF: **** )   YUWELL YH-725 SN **** </t>
  </si>
  <si>
    <t>APP0208</t>
  </si>
  <si>
    <t>VNIAPP0208</t>
  </si>
  <si>
    <t>PAT: HAMBLI SALOUA</t>
  </si>
  <si>
    <t>LOC0174</t>
  </si>
  <si>
    <t>PAY00304</t>
  </si>
  <si>
    <t>APP0209</t>
  </si>
  <si>
    <t>VNIAPP0209</t>
  </si>
  <si>
    <t>PAT: GHORBEL AIDA</t>
  </si>
  <si>
    <t>LOC0175</t>
  </si>
  <si>
    <t>PAY00305</t>
  </si>
  <si>
    <t>APP0210</t>
  </si>
  <si>
    <t>VNIAPP0210</t>
  </si>
  <si>
    <t>PAT: LOGHMARI NAJIB</t>
  </si>
  <si>
    <t>LOC0176</t>
  </si>
  <si>
    <t>PAY00306</t>
  </si>
  <si>
    <t>PAY00307</t>
  </si>
  <si>
    <t>APP0211</t>
  </si>
  <si>
    <t>VNIAPP0211</t>
  </si>
  <si>
    <t>PAT: SALAH TAHER</t>
  </si>
  <si>
    <t>LOC0177</t>
  </si>
  <si>
    <t>PAY00308</t>
  </si>
  <si>
    <t>PAY00309</t>
  </si>
  <si>
    <t>J757721KS</t>
  </si>
  <si>
    <t>CONCENTRATEUR O2 5LITRE : DEVILBISS SN: J757721KS  // VNI : DEVILBISS ST -- SN: LS204197       BON DE LOCATION VNI ( DE 30/06/2025 AU 29/12/2025  )</t>
  </si>
  <si>
    <t>N°01853244</t>
  </si>
  <si>
    <t xml:space="preserve">EPICERIE SAMAR RUE 3432 OUED SIDI KACEM CITE LAOUINA </t>
  </si>
  <si>
    <t>VNI ( DI: 18/02/2025  DF: 18/07/2025 )  YUWELL ST   SN: YH830A-V24927013  + MASQUE YF-02 ( L )</t>
  </si>
  <si>
    <t>YH830A-V24927013</t>
  </si>
  <si>
    <t>DEPOSER DOSSIER LE 05/06/2025// PAYEE 450dt  1 MOIS</t>
  </si>
  <si>
    <t>DECEE</t>
  </si>
  <si>
    <t>ACHRAF MLAYAH</t>
  </si>
  <si>
    <t>ADRESSE</t>
  </si>
  <si>
    <t xml:space="preserve">  </t>
  </si>
  <si>
    <t>STATUS LOCATION</t>
  </si>
  <si>
    <t>DOSSIER DEPOSES CNAM</t>
  </si>
  <si>
    <t>DATE DEPOT</t>
  </si>
  <si>
    <t>OUI</t>
  </si>
  <si>
    <t xml:space="preserve">JOURS RETARD DEPOT CNAM </t>
  </si>
  <si>
    <t>EN LOCATION</t>
  </si>
  <si>
    <t>LOC0178</t>
  </si>
  <si>
    <t>PAY00310</t>
  </si>
  <si>
    <t>LOC0179</t>
  </si>
  <si>
    <t>PAY00311</t>
  </si>
  <si>
    <t>EN PANNE</t>
  </si>
  <si>
    <t>BOUASKER AHMED</t>
  </si>
  <si>
    <t>N°02884918</t>
  </si>
  <si>
    <t>3 IMP TAZARKA 4081 ZAOUIET SOUSSE</t>
  </si>
  <si>
    <t>HEDIA</t>
  </si>
  <si>
    <t>N°05627056/00</t>
  </si>
  <si>
    <t>BIEL</t>
  </si>
  <si>
    <t>APP0212</t>
  </si>
  <si>
    <t>APP0213</t>
  </si>
  <si>
    <t>RESMED ST LUMISS 100</t>
  </si>
  <si>
    <t>NON</t>
  </si>
  <si>
    <t>LOC0180</t>
  </si>
  <si>
    <t>PAY00312</t>
  </si>
  <si>
    <r>
      <t xml:space="preserve">CONCENTRATEUR O2 ( DI: 22/08/2025  DF: *** )  DEVILBISS 5L   SN: J752171KS  + BOUTEUIL LINDE GAZ              </t>
    </r>
    <r>
      <rPr>
        <b/>
        <sz val="12"/>
        <color rgb="FFFF0000"/>
        <rFont val="Calibri"/>
        <family val="2"/>
        <scheme val="minor"/>
      </rPr>
      <t xml:space="preserve"> ATT CNAM</t>
    </r>
  </si>
  <si>
    <r>
      <t xml:space="preserve">VNI ( DI: 22/08/2025 DF: ***)  YUWELL   SN : YH830A-V24927012  + MASQUE YF02 (M)                 </t>
    </r>
    <r>
      <rPr>
        <b/>
        <sz val="12"/>
        <color rgb="FFFF0000"/>
        <rFont val="Calibri"/>
        <family val="2"/>
        <scheme val="minor"/>
      </rPr>
      <t xml:space="preserve">  ATT CNAM</t>
    </r>
  </si>
  <si>
    <r>
      <t xml:space="preserve">VIN ( DI: 23/08/2025 DF:  ***** )  RESMED LUMIS 100 ST  SN : 22191536846 + MASQUE YF02 (M)             </t>
    </r>
    <r>
      <rPr>
        <b/>
        <sz val="12"/>
        <color rgb="FFFF0000"/>
        <rFont val="Calibri"/>
        <family val="2"/>
        <scheme val="minor"/>
      </rPr>
      <t xml:space="preserve">  ATT CNAM</t>
    </r>
  </si>
  <si>
    <r>
      <t xml:space="preserve">DATE D INSTALATION : 17/08/2025  DATE FIN : 25/08/2025 //  CONCENTRATEUR O2 : SN B208170381KS  </t>
    </r>
    <r>
      <rPr>
        <b/>
        <sz val="12"/>
        <color rgb="FFFF0000"/>
        <rFont val="Calibri"/>
        <family val="2"/>
        <scheme val="minor"/>
      </rPr>
      <t xml:space="preserve"> ( LOCATION 1 MOIS  PAYEE 200DT )  paiement 100 dt et rembourssement </t>
    </r>
  </si>
  <si>
    <t>DEVILBISS   ( 4 LITRE )</t>
  </si>
  <si>
    <t>PAYEE 100DT</t>
  </si>
  <si>
    <t>BNINA MAKKI</t>
  </si>
  <si>
    <t>N°03943774</t>
  </si>
  <si>
    <t xml:space="preserve">CHORBANE </t>
  </si>
  <si>
    <t>SOUSASSI MAHDIA</t>
  </si>
  <si>
    <t>N°81176292/7</t>
  </si>
  <si>
    <r>
      <t xml:space="preserve">CONCENTRATEUR O2 ( DI : 23/08/2025  DF: **** )  ELITE IRIS 10L  SN: CBB0121160198   </t>
    </r>
    <r>
      <rPr>
        <b/>
        <sz val="12"/>
        <color rgb="FFFF0000"/>
        <rFont val="Calibri"/>
        <family val="2"/>
        <scheme val="minor"/>
      </rPr>
      <t xml:space="preserve"> ATT CNAM</t>
    </r>
  </si>
  <si>
    <t>PAT: BNINA MAKKI</t>
  </si>
  <si>
    <t>LOC0181</t>
  </si>
  <si>
    <t>LOC0182</t>
  </si>
  <si>
    <t>AVEC CONCENTRATEUR</t>
  </si>
  <si>
    <t>PAY00313</t>
  </si>
  <si>
    <t>REMBOURSSEMENT 100DT</t>
  </si>
  <si>
    <t>ALI BEN AMEUR</t>
  </si>
  <si>
    <t>PAY00314</t>
  </si>
  <si>
    <t>BEN AYED ABDELFFATEH</t>
  </si>
  <si>
    <t>N°02869336</t>
  </si>
  <si>
    <t>35 RUE LA REPUBLIQUE 4081 ZAOUIA SOUSSE</t>
  </si>
  <si>
    <t>N°00594576/00</t>
  </si>
  <si>
    <r>
      <t xml:space="preserve">VNI ( DI: 02/02/2025   DF: 04/08/2025  )  YUWELL ST  SN: YH830A-V24614008  + MASQUE YF-02 (M)              </t>
    </r>
    <r>
      <rPr>
        <b/>
        <sz val="12"/>
        <color rgb="FFFF0000"/>
        <rFont val="Calibri"/>
        <family val="2"/>
        <scheme val="minor"/>
      </rPr>
      <t>RENOUVELLEMENT</t>
    </r>
  </si>
  <si>
    <t xml:space="preserve">PAT: BEN AYED ABDELFFATAH </t>
  </si>
  <si>
    <t>YH830A-V24614008</t>
  </si>
  <si>
    <t xml:space="preserve">BEN HAJ ALI JAMIL </t>
  </si>
  <si>
    <t>N°02969149</t>
  </si>
  <si>
    <t>44 RUE DE L ENVIRONNEMENT 4013  MESSADINE</t>
  </si>
  <si>
    <t>N°05130567</t>
  </si>
  <si>
    <t>VNI ( DI: 05/02/2024  DF: 04/11/2025  ) DEVILBISS ST  SN: LS203690  + MASQUE YF-02 (L)</t>
  </si>
  <si>
    <t>PAT: BEN HAJ ALI JAMIL</t>
  </si>
  <si>
    <t>LS203690</t>
  </si>
  <si>
    <t>98645908 SA MERE</t>
  </si>
  <si>
    <r>
      <t xml:space="preserve">VNI ( DI: 03/04/2025 DF: 10/08/2025  ) YUWELL ST  SN: YH830A-V24927024 + MASQUE YF-02 ( M )                                                           </t>
    </r>
    <r>
      <rPr>
        <b/>
        <sz val="12"/>
        <color rgb="FFFF0000"/>
        <rFont val="Calibri"/>
        <family val="2"/>
        <scheme val="minor"/>
      </rPr>
      <t xml:space="preserve"> RENOUVELLEMENT</t>
    </r>
  </si>
  <si>
    <t xml:space="preserve">YUWELL  ST </t>
  </si>
  <si>
    <t>YH830A-V24927024</t>
  </si>
  <si>
    <t>CITE EL EZDIHAR  (CHO3BET ESSNAM)   4081</t>
  </si>
  <si>
    <t>SA SOUEUR</t>
  </si>
  <si>
    <r>
      <t xml:space="preserve">CONCENTRATEUR O2 ( DI : 22/07/2025   DF: 27/08/2025 )   YUWELL 5LITRE  SN: 20240418113      </t>
    </r>
    <r>
      <rPr>
        <b/>
        <sz val="12"/>
        <color rgb="FFFF0000"/>
        <rFont val="Calibri"/>
        <family val="2"/>
        <scheme val="minor"/>
      </rPr>
      <t xml:space="preserve"> PAIEMENT ESPECE</t>
    </r>
  </si>
  <si>
    <t>YUWELL      5 LITRE</t>
  </si>
  <si>
    <r>
      <rPr>
        <b/>
        <sz val="14"/>
        <color theme="6" tint="-0.249977111117893"/>
        <rFont val="Calibri"/>
        <family val="2"/>
        <scheme val="minor"/>
      </rPr>
      <t>DISPONIBLE</t>
    </r>
    <r>
      <rPr>
        <b/>
        <sz val="14"/>
        <color theme="8" tint="-0.249977111117893"/>
        <rFont val="Calibri"/>
        <family val="2"/>
        <scheme val="minor"/>
      </rPr>
      <t xml:space="preserve"> </t>
    </r>
  </si>
  <si>
    <t>RENDEZ-VOUS LE 21/08/2025/  PAS BESOIN D O2</t>
  </si>
  <si>
    <t>BON DE LOCATION CHEZ PATIENT RENDEZ VOUS LE  22/10/2025</t>
  </si>
  <si>
    <t>PAIEMENT ENTRE LE 09 ET LE 12 DE CHAQUE MOIS</t>
  </si>
  <si>
    <t>DOSSIER REFFUSER / RENOUVELLEMENT</t>
  </si>
  <si>
    <t>RENDEZ VOUS LE 12/11/2025</t>
  </si>
  <si>
    <t xml:space="preserve">VERIFICATION ETAT CNAM </t>
  </si>
  <si>
    <t xml:space="preserve">AHMED ABDELGHANI </t>
  </si>
  <si>
    <t>AMENI MOKNI</t>
  </si>
  <si>
    <t>ASMA KNAZ</t>
  </si>
  <si>
    <t xml:space="preserve">ABIR HEDHLI </t>
  </si>
  <si>
    <t xml:space="preserve">ASMA OMRANE </t>
  </si>
  <si>
    <t>AYMEN AYARI</t>
  </si>
  <si>
    <t>BARAA BEN BDIRA</t>
  </si>
  <si>
    <t>CHAKER BEN ABDJELIL</t>
  </si>
  <si>
    <t>GARGOURI IMEN</t>
  </si>
  <si>
    <t>ABDELHAMID GARROUCH</t>
  </si>
  <si>
    <t>GARROUCH ABDELHAMID / SALSABIL BOUAFIA</t>
  </si>
  <si>
    <t>ABDELAZIZ HAYOUNI</t>
  </si>
  <si>
    <t>IMEN ISMAIL</t>
  </si>
  <si>
    <t xml:space="preserve">INES LAOUINI </t>
  </si>
  <si>
    <t>ITEB BEN LIMAM</t>
  </si>
  <si>
    <t xml:space="preserve">JAFFEL (GAFSA) / HAYOUNI </t>
  </si>
  <si>
    <t>MANEL MEDI</t>
  </si>
  <si>
    <t>IMEN MJANDEL</t>
  </si>
  <si>
    <t>SANA AISSA</t>
  </si>
  <si>
    <t>OTHMEN NAFFETY</t>
  </si>
  <si>
    <t>NABIL OMEZZINE</t>
  </si>
  <si>
    <t>SALSABIL BOUAFIA</t>
  </si>
  <si>
    <t>SLIM BEN MANSOUR</t>
  </si>
  <si>
    <t>SOPHIA BOUSNINA FEKIH</t>
  </si>
  <si>
    <t>WAHID BRAHEM</t>
  </si>
  <si>
    <t>MOURAD JARRAR</t>
  </si>
  <si>
    <t>JABEUR SAMEH /SAOUSSEN CHIKH</t>
  </si>
  <si>
    <t xml:space="preserve">VERFICATION CNAM BL OXY </t>
  </si>
  <si>
    <t>PAY00315</t>
  </si>
  <si>
    <t>PAY00316</t>
  </si>
  <si>
    <t>BON DE LOCATION CHEZ SOUHAIEB</t>
  </si>
  <si>
    <t xml:space="preserve"> 28/08/2025</t>
  </si>
  <si>
    <t>ATTENTE RDV AVERIFIER AVEC KARIM</t>
  </si>
  <si>
    <t>INJOIGNABLE - ATTENTE PASSAGE BILEL</t>
  </si>
  <si>
    <t xml:space="preserve">  CNAM</t>
  </si>
  <si>
    <t>27/08/205</t>
  </si>
  <si>
    <t>RAPPEL AHMED POUR VERF RDV</t>
  </si>
  <si>
    <t>RENDEZ-VOUS LE 28/08/2025 ?</t>
  </si>
  <si>
    <t>CHNAGEMENT APPAREIL D'OXYGENE ET RDV LE 02/09/2025 ?</t>
  </si>
  <si>
    <t xml:space="preserve">AP3 AHMED </t>
  </si>
  <si>
    <t>BON DE LOCATION CHEZ PATIENT ( KARIM )</t>
  </si>
  <si>
    <t>RAPPEL LORS DE L'ARRIVAGE DES CONCENTRATEURS</t>
  </si>
  <si>
    <t>PAY00317</t>
  </si>
  <si>
    <t>PAY00318</t>
  </si>
  <si>
    <t>VERF RDV AHMED 23/09/2025</t>
  </si>
  <si>
    <t>VERF RDV AHMED 16/10/2025</t>
  </si>
  <si>
    <t>VERF RDV AHMED 15/01/2026</t>
  </si>
  <si>
    <t>VERF RDV AHMED 03/12/2025</t>
  </si>
  <si>
    <t>VERIFICATION ETAT CNAM KARIM</t>
  </si>
  <si>
    <t>RDV AVEC DR MJANDEL</t>
  </si>
  <si>
    <t>APPEL BILEL VERIFICATION RENOUVELLEMENT</t>
  </si>
  <si>
    <t>APPEL PATIENT VERIFICATION REZNOUVELLEMENT</t>
  </si>
  <si>
    <t xml:space="preserve">A VERIFIER SI ELLE A UN RDV DANS LA CARTE </t>
  </si>
  <si>
    <t>10 RUE 5118 CITE ERRIADH 4023</t>
  </si>
  <si>
    <t>N°00678291/00</t>
  </si>
  <si>
    <r>
      <t xml:space="preserve">VNI ( DI: 13/02/2025  DF: 17/05/2025  ) YUWELL  V GPS  SN: YH830A-V24614006 + MASQUE YF-02 ( L )    </t>
    </r>
    <r>
      <rPr>
        <b/>
        <sz val="12"/>
        <color rgb="FFFF0000"/>
        <rFont val="Calibri"/>
        <family val="2"/>
        <scheme val="minor"/>
      </rPr>
      <t xml:space="preserve">RENOUVELLEMENT  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rgb="FFFF0000"/>
        <rFont val="Calibri"/>
        <family val="2"/>
        <scheme val="minor"/>
      </rPr>
      <t xml:space="preserve">  REJET CNAM EN ATTENTE NV DOSSIER </t>
    </r>
  </si>
  <si>
    <t>YUYWELL  V GPS</t>
  </si>
  <si>
    <t>YH830A-V24614006</t>
  </si>
  <si>
    <t>ENT 25/08/2025</t>
  </si>
  <si>
    <t>95 887 343/43089122</t>
  </si>
  <si>
    <t>N°01198423/00</t>
  </si>
  <si>
    <r>
      <t xml:space="preserve">VNI ( DI: 02/02/2024  DF: 21/07/2025  ) MODE CPAP  :RESMED S9  SN 22111363330  + MASQUE YF-01 ( L )   </t>
    </r>
    <r>
      <rPr>
        <b/>
        <sz val="12"/>
        <color rgb="FFFF0000"/>
        <rFont val="Calibri"/>
        <family val="2"/>
        <scheme val="minor"/>
      </rPr>
      <t xml:space="preserve">   ATT CNAM</t>
    </r>
  </si>
  <si>
    <t xml:space="preserve">RESMED S9 </t>
  </si>
  <si>
    <t>ENT 26/08/2025</t>
  </si>
  <si>
    <t>ACCORT MEDICALE LE 01/08/2025</t>
  </si>
  <si>
    <t>ACCORT MEDICALE LE 22/07/2025</t>
  </si>
  <si>
    <t>EN ATTENTE ACCORT CNAM</t>
  </si>
  <si>
    <t>ATT CNAM  ( RAPPORT D OBSERVENCE ) PIECE COMPLEMENTAIRE</t>
  </si>
  <si>
    <t>ACCORT 16/05 /2025 ( 3 mois )RDV 24/10/2025</t>
  </si>
  <si>
    <t>oui</t>
  </si>
  <si>
    <t>accort le 25/06/2025 ( 3 mois )</t>
  </si>
  <si>
    <t>retoiur</t>
  </si>
  <si>
    <t>sans paiement</t>
  </si>
  <si>
    <t>non</t>
  </si>
  <si>
    <t>N°03913945</t>
  </si>
  <si>
    <t>RUE 01 JUIN 5160 EL JEM ( REA CLINIQUE EXCELLENCE )</t>
  </si>
  <si>
    <t>YUWELL VGPS</t>
  </si>
  <si>
    <t>YH720 HA-V23C680024</t>
  </si>
  <si>
    <t xml:space="preserve">DISPONIBLE </t>
  </si>
  <si>
    <t>STCOCK ACHRAF</t>
  </si>
  <si>
    <t xml:space="preserve">VNI ( DI: 03/02/2024  DF: 01/11/2025 )  YUWELL  VGPS  SN: YH720 HA-V23C68024 + MASQUE F20 RESMED ( L )   </t>
  </si>
  <si>
    <t>KNAIES CITE EL MANDRA  ( LA POSTE )</t>
  </si>
  <si>
    <t>CONCENTRATEUR O2 ( DI: 27/07/2022  DF: 10/08/2025 )  DEVILBISS SN: 210272KS              RENDEZ-VOUS 12/08/2025</t>
  </si>
  <si>
    <t>CONSULTATION MEDECIN 12/08/2025 / RETOUR LE 27/08/2025</t>
  </si>
  <si>
    <t>DEVILBISS 5 LITRE</t>
  </si>
  <si>
    <t>B208210272KS</t>
  </si>
  <si>
    <t>PAY00319</t>
  </si>
  <si>
    <t>PAT: BOUASKAR AHMED</t>
  </si>
  <si>
    <t>08/092025</t>
  </si>
  <si>
    <t xml:space="preserve">BIEL </t>
  </si>
  <si>
    <t>GARANTIE 250DT</t>
  </si>
  <si>
    <t>CONCENTRATEUR O2  10L</t>
  </si>
  <si>
    <t xml:space="preserve">YUWELL    </t>
  </si>
  <si>
    <t>PAYEE DIFFERENCE DE 400DT AVEC BILEL</t>
  </si>
  <si>
    <r>
      <t xml:space="preserve">CONCENTRATEUR O2 10L (DI: 19/10/2024  DF: 21/10/2025 )  YUWELL  SN: 220101214                            </t>
    </r>
    <r>
      <rPr>
        <b/>
        <sz val="12"/>
        <color rgb="FFFF0000"/>
        <rFont val="Calibri"/>
        <family val="2"/>
        <scheme val="minor"/>
      </rPr>
      <t xml:space="preserve">   CHAQUE 3 MOIS IL FAUT PAYEE 400DT DIFFERENCE AV BON DE LOCATION</t>
    </r>
  </si>
  <si>
    <t>PAY00320</t>
  </si>
  <si>
    <t>PAY00321</t>
  </si>
  <si>
    <t>PAY00322</t>
  </si>
  <si>
    <t>NOTE</t>
  </si>
  <si>
    <t>COMPLEMENT</t>
  </si>
  <si>
    <t>LOC0183</t>
  </si>
  <si>
    <t>PAY00323</t>
  </si>
  <si>
    <t xml:space="preserve">AHMED GDS EN ATTENTE SIGNATURE MEDECIN </t>
  </si>
  <si>
    <t>VNI : (DI: 03/03/2021    DF: 08/11/2025   )   DEVILBISS ST    SN: LS008771  + MASQUE YF02 (L)</t>
  </si>
  <si>
    <t>JEAN CLAUDE - CONCENTRATEUR O2 (LOC0055)</t>
  </si>
  <si>
    <t>PAY00324</t>
  </si>
  <si>
    <t xml:space="preserve">PAIEMENT 2EME MOIS </t>
  </si>
  <si>
    <t>RAPPEL POUR DUPLICATA BL CNAM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</si>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</sst>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b/>
      <sz val="16"/>
      <color rgb="FF366092"/>
      <name val="Calibri"/>
      <family val="2"/>
    </font>
    <font>
      <i/>
      <sz val="9"/>
      <color rgb="FFFF0000"/>
      <name val="Calibri"/>
      <family val="2"/>
    </font>
    <font>
      <b/>
      <sz val="12"/>
      <name val="Calibri"/>
      <family val="2"/>
    </font>
    <font>
      <i/>
      <sz val="11"/>
      <color rgb="FF808080"/>
      <name val="Calibri"/>
      <family val="2"/>
    </font>
    <font>
      <b/>
      <sz val="14"/>
      <color rgb="FF366092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8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  <fill>
      <patternFill patternType="solid">
        <fgColor rgb="FF4472C4"/>
        <bgColor rgb="FF4472C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rgb="FF36609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0F0F0"/>
      </patternFill>
    </fill>
    <fill>
      <patternFill patternType="solid">
        <fgColor theme="5" tint="0.59999389629810485"/>
        <bgColor rgb="FFF0F0F0"/>
      </patternFill>
    </fill>
    <fill>
      <patternFill patternType="solid">
        <fgColor theme="0"/>
        <bgColor rgb="FFF0F0F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2" borderId="1">
      <alignment horizontal="center" vertical="center" wrapText="1"/>
    </xf>
    <xf numFmtId="0" fontId="2" fillId="0" borderId="2">
      <alignment vertical="center"/>
    </xf>
    <xf numFmtId="0" fontId="2" fillId="3" borderId="2">
      <alignment vertical="center"/>
    </xf>
    <xf numFmtId="14" fontId="2" fillId="3" borderId="2">
      <alignment vertical="center"/>
    </xf>
    <xf numFmtId="0" fontId="3" fillId="4" borderId="1">
      <alignment horizontal="left" vertical="center" wrapText="1"/>
    </xf>
    <xf numFmtId="0" fontId="4" fillId="0" borderId="2">
      <alignment horizontal="left" vertical="top" wrapText="1"/>
    </xf>
    <xf numFmtId="0" fontId="32" fillId="15" borderId="0" applyNumberFormat="0" applyBorder="0" applyAlignment="0" applyProtection="0"/>
  </cellStyleXfs>
  <cellXfs count="173">
    <xf numFmtId="0" fontId="0" fillId="0" borderId="0" xfId="0"/>
    <xf numFmtId="0" fontId="6" fillId="0" borderId="0" xfId="0" applyFont="1"/>
    <xf numFmtId="0" fontId="1" fillId="2" borderId="1" xfId="1">
      <alignment horizontal="center" vertical="center" wrapText="1"/>
    </xf>
    <xf numFmtId="0" fontId="2" fillId="3" borderId="2" xfId="3">
      <alignment vertical="center"/>
    </xf>
    <xf numFmtId="14" fontId="0" fillId="0" borderId="0" xfId="0" applyNumberFormat="1"/>
    <xf numFmtId="0" fontId="2" fillId="0" borderId="2" xfId="2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3" borderId="2" xfId="3" applyAlignment="1">
      <alignment horizontal="center"/>
    </xf>
    <xf numFmtId="14" fontId="2" fillId="3" borderId="2" xfId="4">
      <alignment vertical="center"/>
    </xf>
    <xf numFmtId="0" fontId="1" fillId="10" borderId="1" xfId="1" applyFill="1">
      <alignment horizontal="center" vertical="center" wrapText="1"/>
    </xf>
    <xf numFmtId="0" fontId="0" fillId="8" borderId="0" xfId="0" applyFill="1"/>
    <xf numFmtId="0" fontId="0" fillId="11" borderId="0" xfId="0" applyFill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3" fontId="12" fillId="0" borderId="2" xfId="0" applyNumberFormat="1" applyFont="1" applyBorder="1" applyAlignment="1">
      <alignment horizontal="center"/>
    </xf>
    <xf numFmtId="0" fontId="7" fillId="0" borderId="2" xfId="2" applyFont="1">
      <alignment vertical="center"/>
    </xf>
    <xf numFmtId="0" fontId="12" fillId="6" borderId="2" xfId="0" applyFont="1" applyFill="1" applyBorder="1" applyAlignment="1">
      <alignment horizontal="center"/>
    </xf>
    <xf numFmtId="0" fontId="12" fillId="11" borderId="2" xfId="0" applyFont="1" applyFill="1" applyBorder="1"/>
    <xf numFmtId="0" fontId="12" fillId="11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3" fontId="12" fillId="8" borderId="2" xfId="0" applyNumberFormat="1" applyFont="1" applyFill="1" applyBorder="1" applyAlignment="1">
      <alignment horizontal="center"/>
    </xf>
    <xf numFmtId="0" fontId="12" fillId="5" borderId="2" xfId="0" applyFont="1" applyFill="1" applyBorder="1"/>
    <xf numFmtId="14" fontId="12" fillId="6" borderId="2" xfId="0" applyNumberFormat="1" applyFont="1" applyFill="1" applyBorder="1" applyAlignment="1">
      <alignment horizontal="center"/>
    </xf>
    <xf numFmtId="0" fontId="12" fillId="9" borderId="2" xfId="0" applyFont="1" applyFill="1" applyBorder="1" applyAlignment="1">
      <alignment horizontal="center"/>
    </xf>
    <xf numFmtId="0" fontId="12" fillId="6" borderId="2" xfId="0" applyFont="1" applyFill="1" applyBorder="1"/>
    <xf numFmtId="3" fontId="12" fillId="6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14" fontId="16" fillId="6" borderId="2" xfId="0" applyNumberFormat="1" applyFont="1" applyFill="1" applyBorder="1" applyAlignment="1">
      <alignment horizontal="center"/>
    </xf>
    <xf numFmtId="14" fontId="17" fillId="6" borderId="2" xfId="0" applyNumberFormat="1" applyFont="1" applyFill="1" applyBorder="1" applyAlignment="1">
      <alignment horizontal="center"/>
    </xf>
    <xf numFmtId="3" fontId="19" fillId="0" borderId="2" xfId="0" applyNumberFormat="1" applyFont="1" applyBorder="1" applyAlignment="1">
      <alignment horizontal="center"/>
    </xf>
    <xf numFmtId="0" fontId="18" fillId="0" borderId="0" xfId="0" applyFont="1"/>
    <xf numFmtId="0" fontId="1" fillId="2" borderId="2" xfId="1" applyBorder="1">
      <alignment horizontal="center" vertical="center" wrapText="1"/>
    </xf>
    <xf numFmtId="0" fontId="20" fillId="0" borderId="2" xfId="0" applyFont="1" applyBorder="1"/>
    <xf numFmtId="14" fontId="20" fillId="0" borderId="2" xfId="0" applyNumberFormat="1" applyFont="1" applyBorder="1"/>
    <xf numFmtId="0" fontId="20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0" fillId="9" borderId="0" xfId="0" applyFill="1"/>
    <xf numFmtId="0" fontId="12" fillId="0" borderId="2" xfId="0" applyFont="1" applyBorder="1" applyAlignment="1">
      <alignment horizontal="center" vertical="top"/>
    </xf>
    <xf numFmtId="0" fontId="18" fillId="6" borderId="0" xfId="0" applyFont="1" applyFill="1"/>
    <xf numFmtId="0" fontId="12" fillId="12" borderId="2" xfId="0" applyFont="1" applyFill="1" applyBorder="1" applyAlignment="1">
      <alignment horizontal="center"/>
    </xf>
    <xf numFmtId="14" fontId="12" fillId="12" borderId="2" xfId="0" applyNumberFormat="1" applyFont="1" applyFill="1" applyBorder="1" applyAlignment="1">
      <alignment horizontal="center"/>
    </xf>
    <xf numFmtId="3" fontId="12" fillId="12" borderId="2" xfId="0" applyNumberFormat="1" applyFont="1" applyFill="1" applyBorder="1" applyAlignment="1">
      <alignment horizontal="center"/>
    </xf>
    <xf numFmtId="0" fontId="0" fillId="12" borderId="0" xfId="0" applyFill="1"/>
    <xf numFmtId="0" fontId="20" fillId="6" borderId="2" xfId="0" applyFont="1" applyFill="1" applyBorder="1" applyAlignment="1">
      <alignment horizontal="center"/>
    </xf>
    <xf numFmtId="0" fontId="1" fillId="2" borderId="6" xfId="1" applyBorder="1">
      <alignment horizontal="center" vertical="center" wrapText="1"/>
    </xf>
    <xf numFmtId="14" fontId="20" fillId="0" borderId="6" xfId="0" applyNumberFormat="1" applyFont="1" applyBorder="1"/>
    <xf numFmtId="0" fontId="20" fillId="0" borderId="6" xfId="0" applyFont="1" applyBorder="1"/>
    <xf numFmtId="0" fontId="0" fillId="0" borderId="1" xfId="0" applyBorder="1"/>
    <xf numFmtId="14" fontId="20" fillId="0" borderId="6" xfId="0" applyNumberFormat="1" applyFont="1" applyBorder="1" applyAlignment="1">
      <alignment horizontal="left"/>
    </xf>
    <xf numFmtId="0" fontId="0" fillId="6" borderId="0" xfId="0" applyFill="1"/>
    <xf numFmtId="0" fontId="29" fillId="6" borderId="0" xfId="0" applyFont="1" applyFill="1"/>
    <xf numFmtId="0" fontId="13" fillId="6" borderId="2" xfId="0" applyFont="1" applyFill="1" applyBorder="1" applyAlignment="1">
      <alignment horizontal="center"/>
    </xf>
    <xf numFmtId="0" fontId="17" fillId="12" borderId="2" xfId="0" applyFont="1" applyFill="1" applyBorder="1" applyAlignment="1">
      <alignment horizontal="center"/>
    </xf>
    <xf numFmtId="14" fontId="17" fillId="12" borderId="2" xfId="0" applyNumberFormat="1" applyFont="1" applyFill="1" applyBorder="1" applyAlignment="1">
      <alignment horizontal="center"/>
    </xf>
    <xf numFmtId="3" fontId="17" fillId="12" borderId="2" xfId="0" applyNumberFormat="1" applyFont="1" applyFill="1" applyBorder="1" applyAlignment="1">
      <alignment horizontal="center"/>
    </xf>
    <xf numFmtId="14" fontId="12" fillId="0" borderId="2" xfId="0" applyNumberFormat="1" applyFont="1" applyBorder="1"/>
    <xf numFmtId="0" fontId="7" fillId="3" borderId="2" xfId="3" applyFont="1">
      <alignment vertical="center"/>
    </xf>
    <xf numFmtId="0" fontId="12" fillId="0" borderId="6" xfId="0" applyFont="1" applyBorder="1"/>
    <xf numFmtId="0" fontId="12" fillId="0" borderId="5" xfId="0" applyFont="1" applyBorder="1"/>
    <xf numFmtId="14" fontId="12" fillId="0" borderId="5" xfId="0" applyNumberFormat="1" applyFont="1" applyBorder="1"/>
    <xf numFmtId="0" fontId="7" fillId="3" borderId="5" xfId="3" applyFont="1" applyBorder="1">
      <alignment vertical="center"/>
    </xf>
    <xf numFmtId="0" fontId="18" fillId="0" borderId="1" xfId="0" applyFont="1" applyBorder="1"/>
    <xf numFmtId="0" fontId="18" fillId="6" borderId="1" xfId="0" applyFont="1" applyFill="1" applyBorder="1"/>
    <xf numFmtId="3" fontId="14" fillId="12" borderId="2" xfId="0" applyNumberFormat="1" applyFont="1" applyFill="1" applyBorder="1" applyAlignment="1">
      <alignment horizontal="center"/>
    </xf>
    <xf numFmtId="0" fontId="12" fillId="14" borderId="2" xfId="0" applyFont="1" applyFill="1" applyBorder="1" applyAlignment="1">
      <alignment horizontal="center"/>
    </xf>
    <xf numFmtId="3" fontId="13" fillId="12" borderId="2" xfId="0" applyNumberFormat="1" applyFont="1" applyFill="1" applyBorder="1" applyAlignment="1">
      <alignment horizontal="center"/>
    </xf>
    <xf numFmtId="3" fontId="12" fillId="5" borderId="2" xfId="0" applyNumberFormat="1" applyFont="1" applyFill="1" applyBorder="1" applyAlignment="1">
      <alignment horizontal="center"/>
    </xf>
    <xf numFmtId="14" fontId="33" fillId="12" borderId="2" xfId="0" applyNumberFormat="1" applyFont="1" applyFill="1" applyBorder="1" applyAlignment="1">
      <alignment horizontal="center"/>
    </xf>
    <xf numFmtId="14" fontId="17" fillId="0" borderId="2" xfId="0" applyNumberFormat="1" applyFont="1" applyBorder="1" applyAlignment="1">
      <alignment horizontal="center"/>
    </xf>
    <xf numFmtId="14" fontId="32" fillId="15" borderId="2" xfId="7" applyNumberFormat="1" applyBorder="1"/>
    <xf numFmtId="0" fontId="32" fillId="15" borderId="5" xfId="7" applyBorder="1" applyAlignment="1">
      <alignment vertical="center"/>
    </xf>
    <xf numFmtId="0" fontId="32" fillId="15" borderId="2" xfId="7" applyBorder="1"/>
    <xf numFmtId="0" fontId="32" fillId="15" borderId="6" xfId="7" applyBorder="1"/>
    <xf numFmtId="0" fontId="32" fillId="15" borderId="0" xfId="7"/>
    <xf numFmtId="0" fontId="12" fillId="16" borderId="6" xfId="0" applyFont="1" applyFill="1" applyBorder="1"/>
    <xf numFmtId="0" fontId="12" fillId="16" borderId="2" xfId="0" applyFont="1" applyFill="1" applyBorder="1"/>
    <xf numFmtId="14" fontId="12" fillId="16" borderId="2" xfId="0" applyNumberFormat="1" applyFont="1" applyFill="1" applyBorder="1"/>
    <xf numFmtId="0" fontId="7" fillId="17" borderId="5" xfId="3" applyFont="1" applyFill="1" applyBorder="1">
      <alignment vertical="center"/>
    </xf>
    <xf numFmtId="0" fontId="12" fillId="11" borderId="6" xfId="0" applyFont="1" applyFill="1" applyBorder="1"/>
    <xf numFmtId="14" fontId="12" fillId="11" borderId="2" xfId="0" applyNumberFormat="1" applyFont="1" applyFill="1" applyBorder="1"/>
    <xf numFmtId="0" fontId="7" fillId="18" borderId="5" xfId="3" applyFont="1" applyFill="1" applyBorder="1">
      <alignment vertical="center"/>
    </xf>
    <xf numFmtId="3" fontId="12" fillId="12" borderId="0" xfId="0" applyNumberFormat="1" applyFont="1" applyFill="1" applyAlignment="1">
      <alignment horizontal="center"/>
    </xf>
    <xf numFmtId="0" fontId="7" fillId="19" borderId="5" xfId="3" applyFont="1" applyFill="1" applyBorder="1">
      <alignment vertical="center"/>
    </xf>
    <xf numFmtId="0" fontId="12" fillId="0" borderId="7" xfId="0" applyFont="1" applyBorder="1"/>
    <xf numFmtId="0" fontId="13" fillId="12" borderId="2" xfId="0" applyFont="1" applyFill="1" applyBorder="1" applyAlignment="1">
      <alignment horizontal="center"/>
    </xf>
    <xf numFmtId="0" fontId="12" fillId="12" borderId="4" xfId="0" applyFont="1" applyFill="1" applyBorder="1" applyAlignment="1">
      <alignment horizontal="center"/>
    </xf>
    <xf numFmtId="0" fontId="12" fillId="0" borderId="1" xfId="0" applyFont="1" applyBorder="1"/>
    <xf numFmtId="14" fontId="12" fillId="0" borderId="2" xfId="0" applyNumberFormat="1" applyFont="1" applyBorder="1" applyAlignment="1">
      <alignment horizontal="left"/>
    </xf>
    <xf numFmtId="0" fontId="35" fillId="0" borderId="2" xfId="0" applyFont="1" applyBorder="1" applyAlignment="1">
      <alignment horizontal="center"/>
    </xf>
    <xf numFmtId="0" fontId="20" fillId="5" borderId="2" xfId="0" applyFont="1" applyFill="1" applyBorder="1"/>
    <xf numFmtId="0" fontId="20" fillId="5" borderId="2" xfId="0" applyFont="1" applyFill="1" applyBorder="1" applyAlignment="1">
      <alignment horizontal="center"/>
    </xf>
    <xf numFmtId="0" fontId="26" fillId="5" borderId="2" xfId="0" applyFont="1" applyFill="1" applyBorder="1" applyAlignment="1">
      <alignment horizontal="center"/>
    </xf>
    <xf numFmtId="0" fontId="20" fillId="5" borderId="6" xfId="0" applyFont="1" applyFill="1" applyBorder="1"/>
    <xf numFmtId="0" fontId="12" fillId="5" borderId="2" xfId="0" applyFont="1" applyFill="1" applyBorder="1" applyAlignment="1">
      <alignment horizontal="left"/>
    </xf>
    <xf numFmtId="0" fontId="0" fillId="5" borderId="0" xfId="0" applyFill="1"/>
    <xf numFmtId="0" fontId="28" fillId="5" borderId="2" xfId="0" applyFont="1" applyFill="1" applyBorder="1" applyAlignment="1">
      <alignment horizontal="center"/>
    </xf>
    <xf numFmtId="14" fontId="20" fillId="5" borderId="6" xfId="0" applyNumberFormat="1" applyFont="1" applyFill="1" applyBorder="1"/>
    <xf numFmtId="14" fontId="12" fillId="5" borderId="2" xfId="0" applyNumberFormat="1" applyFont="1" applyFill="1" applyBorder="1" applyAlignment="1">
      <alignment horizontal="left"/>
    </xf>
    <xf numFmtId="14" fontId="20" fillId="5" borderId="2" xfId="0" applyNumberFormat="1" applyFont="1" applyFill="1" applyBorder="1" applyAlignment="1">
      <alignment horizontal="right"/>
    </xf>
    <xf numFmtId="14" fontId="20" fillId="5" borderId="2" xfId="0" applyNumberFormat="1" applyFont="1" applyFill="1" applyBorder="1" applyAlignment="1">
      <alignment horizontal="center"/>
    </xf>
    <xf numFmtId="0" fontId="12" fillId="5" borderId="5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9" xfId="0" applyFont="1" applyFill="1" applyBorder="1"/>
    <xf numFmtId="0" fontId="20" fillId="0" borderId="2" xfId="0" applyFont="1" applyBorder="1" applyAlignment="1">
      <alignment horizontal="left"/>
    </xf>
    <xf numFmtId="0" fontId="0" fillId="0" borderId="2" xfId="0" applyBorder="1"/>
    <xf numFmtId="0" fontId="12" fillId="22" borderId="2" xfId="0" applyFont="1" applyFill="1" applyBorder="1" applyAlignment="1">
      <alignment horizontal="center"/>
    </xf>
    <xf numFmtId="14" fontId="20" fillId="5" borderId="2" xfId="0" applyNumberFormat="1" applyFont="1" applyFill="1" applyBorder="1"/>
    <xf numFmtId="0" fontId="20" fillId="5" borderId="2" xfId="0" applyFont="1" applyFill="1" applyBorder="1" applyAlignment="1">
      <alignment horizontal="left"/>
    </xf>
    <xf numFmtId="0" fontId="27" fillId="5" borderId="2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2" fillId="5" borderId="1" xfId="0" applyFont="1" applyFill="1" applyBorder="1"/>
    <xf numFmtId="14" fontId="20" fillId="5" borderId="6" xfId="0" applyNumberFormat="1" applyFont="1" applyFill="1" applyBorder="1" applyAlignment="1">
      <alignment horizontal="left"/>
    </xf>
    <xf numFmtId="0" fontId="21" fillId="5" borderId="2" xfId="0" applyFont="1" applyFill="1" applyBorder="1" applyAlignment="1">
      <alignment horizontal="center"/>
    </xf>
    <xf numFmtId="14" fontId="12" fillId="5" borderId="1" xfId="0" applyNumberFormat="1" applyFont="1" applyFill="1" applyBorder="1" applyAlignment="1">
      <alignment horizontal="left"/>
    </xf>
    <xf numFmtId="0" fontId="12" fillId="12" borderId="2" xfId="0" applyFont="1" applyFill="1" applyBorder="1" applyAlignment="1">
      <alignment horizontal="center" vertical="top"/>
    </xf>
    <xf numFmtId="0" fontId="7" fillId="13" borderId="2" xfId="2" applyFont="1" applyFill="1" applyAlignment="1">
      <alignment horizontal="center" vertical="center"/>
    </xf>
    <xf numFmtId="0" fontId="7" fillId="8" borderId="2" xfId="2" applyFont="1" applyFill="1" applyAlignment="1">
      <alignment horizontal="center" vertical="center"/>
    </xf>
    <xf numFmtId="0" fontId="7" fillId="9" borderId="2" xfId="2" applyFont="1" applyFill="1" applyAlignment="1">
      <alignment horizontal="center" vertical="center"/>
    </xf>
    <xf numFmtId="0" fontId="30" fillId="0" borderId="2" xfId="0" applyFont="1" applyBorder="1" applyAlignment="1">
      <alignment horizontal="center"/>
    </xf>
    <xf numFmtId="0" fontId="36" fillId="13" borderId="2" xfId="2" applyFont="1" applyFill="1" applyAlignment="1">
      <alignment horizontal="center" vertical="center"/>
    </xf>
    <xf numFmtId="0" fontId="24" fillId="12" borderId="2" xfId="0" applyFont="1" applyFill="1" applyBorder="1" applyAlignment="1">
      <alignment horizontal="center"/>
    </xf>
    <xf numFmtId="14" fontId="16" fillId="12" borderId="2" xfId="0" applyNumberFormat="1" applyFont="1" applyFill="1" applyBorder="1" applyAlignment="1">
      <alignment horizontal="center"/>
    </xf>
    <xf numFmtId="0" fontId="17" fillId="6" borderId="2" xfId="0" applyFont="1" applyFill="1" applyBorder="1" applyAlignment="1">
      <alignment horizontal="center"/>
    </xf>
    <xf numFmtId="0" fontId="31" fillId="12" borderId="2" xfId="0" applyFont="1" applyFill="1" applyBorder="1" applyAlignment="1">
      <alignment horizontal="center"/>
    </xf>
    <xf numFmtId="0" fontId="18" fillId="12" borderId="0" xfId="0" applyFont="1" applyFill="1" applyAlignment="1">
      <alignment horizontal="center"/>
    </xf>
    <xf numFmtId="0" fontId="17" fillId="6" borderId="5" xfId="0" applyFont="1" applyFill="1" applyBorder="1" applyAlignment="1">
      <alignment horizontal="center"/>
    </xf>
    <xf numFmtId="14" fontId="16" fillId="0" borderId="2" xfId="0" applyNumberFormat="1" applyFont="1" applyBorder="1" applyAlignment="1">
      <alignment horizontal="center"/>
    </xf>
    <xf numFmtId="0" fontId="17" fillId="12" borderId="5" xfId="0" applyFont="1" applyFill="1" applyBorder="1" applyAlignment="1">
      <alignment horizontal="center"/>
    </xf>
    <xf numFmtId="0" fontId="30" fillId="6" borderId="2" xfId="0" applyFont="1" applyFill="1" applyBorder="1" applyAlignment="1">
      <alignment horizontal="center"/>
    </xf>
    <xf numFmtId="0" fontId="7" fillId="6" borderId="2" xfId="2" applyFont="1" applyFill="1" applyAlignment="1">
      <alignment horizontal="center" vertical="center"/>
    </xf>
    <xf numFmtId="0" fontId="7" fillId="21" borderId="2" xfId="2" applyFont="1" applyFill="1" applyAlignment="1">
      <alignment horizontal="center" vertical="center"/>
    </xf>
    <xf numFmtId="0" fontId="7" fillId="12" borderId="2" xfId="2" applyFont="1" applyFill="1" applyAlignment="1">
      <alignment horizontal="center" vertical="center"/>
    </xf>
    <xf numFmtId="0" fontId="30" fillId="12" borderId="2" xfId="0" applyFont="1" applyFill="1" applyBorder="1" applyAlignment="1">
      <alignment horizontal="center"/>
    </xf>
    <xf numFmtId="0" fontId="7" fillId="0" borderId="2" xfId="2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/>
    <xf numFmtId="0" fontId="4" fillId="0" borderId="2" xfId="6">
      <alignment horizontal="left" vertical="top" wrapText="1"/>
    </xf>
    <xf numFmtId="0" fontId="0" fillId="0" borderId="3" xfId="0" applyBorder="1"/>
    <xf numFmtId="0" fontId="3" fillId="4" borderId="1" xfId="5">
      <alignment horizontal="left" vertical="center" wrapText="1"/>
    </xf>
    <xf numFmtId="0" fontId="4" fillId="12" borderId="2" xfId="6" applyFill="1">
      <alignment horizontal="left" vertical="top" wrapText="1"/>
    </xf>
    <xf numFmtId="0" fontId="0" fillId="12" borderId="3" xfId="0" applyFill="1" applyBorder="1"/>
    <xf numFmtId="0" fontId="4" fillId="11" borderId="2" xfId="6" applyFill="1">
      <alignment horizontal="left" vertical="top" wrapText="1"/>
    </xf>
    <xf numFmtId="0" fontId="0" fillId="11" borderId="3" xfId="0" applyFill="1" applyBorder="1"/>
    <xf numFmtId="0" fontId="4" fillId="0" borderId="6" xfId="6" applyBorder="1">
      <alignment horizontal="left" vertical="top" wrapText="1"/>
    </xf>
    <xf numFmtId="0" fontId="4" fillId="0" borderId="3" xfId="6" applyBorder="1">
      <alignment horizontal="left" vertical="top" wrapText="1"/>
    </xf>
    <xf numFmtId="0" fontId="4" fillId="5" borderId="6" xfId="6" applyFill="1" applyBorder="1">
      <alignment horizontal="left" vertical="top" wrapText="1"/>
    </xf>
    <xf numFmtId="0" fontId="4" fillId="5" borderId="3" xfId="6" applyFill="1" applyBorder="1">
      <alignment horizontal="left" vertical="top" wrapText="1"/>
    </xf>
    <xf numFmtId="0" fontId="3" fillId="4" borderId="8" xfId="5" applyBorder="1">
      <alignment horizontal="left" vertical="center" wrapText="1"/>
    </xf>
    <xf numFmtId="0" fontId="20" fillId="6" borderId="6" xfId="0" applyFont="1" applyFill="1" applyBorder="1"/>
    <xf numFmtId="0" fontId="20" fillId="6" borderId="2" xfId="0" applyFont="1" applyFill="1" applyBorder="1"/>
    <xf numFmtId="0" fontId="21" fillId="6" borderId="2" xfId="0" applyFont="1" applyFill="1" applyBorder="1" applyAlignment="1">
      <alignment horizontal="center"/>
    </xf>
    <xf numFmtId="14" fontId="12" fillId="6" borderId="2" xfId="0" applyNumberFormat="1" applyFont="1" applyFill="1" applyBorder="1"/>
    <xf numFmtId="14" fontId="0" fillId="2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2" fillId="3" borderId="2" xfId="3" applyBorder="1" applyAlignment="1">
      <alignment vertical="center"/>
    </xf>
    <xf numFmtId="14" fontId="2" fillId="3" borderId="2" xfId="3" applyNumberFormat="1" applyBorder="1" applyAlignment="1">
      <alignment vertical="center"/>
    </xf>
    <xf numFmtId="0" fontId="2" fillId="0" borderId="2" xfId="2" applyBorder="1" applyAlignment="1">
      <alignment vertical="center"/>
    </xf>
    <xf numFmtId="0" fontId="7" fillId="3" borderId="6" xfId="3" applyFont="1" applyBorder="1">
      <alignment vertical="center"/>
    </xf>
    <xf numFmtId="0" fontId="12" fillId="6" borderId="6" xfId="0" applyFont="1" applyFill="1" applyBorder="1"/>
    <xf numFmtId="0" fontId="12" fillId="6" borderId="7" xfId="0" applyFont="1" applyFill="1" applyBorder="1"/>
    <xf numFmtId="0" fontId="24" fillId="0" borderId="2" xfId="0" applyFont="1" applyBorder="1"/>
    <xf numFmtId="0" fontId="37" fillId="0" borderId="0" xfId="0" applyFont="1"/>
    <xf numFmtId="0" fontId="36" fillId="3" borderId="2" xfId="3" applyFont="1">
      <alignment vertical="center"/>
    </xf>
    <xf numFmtId="0" fontId="36" fillId="3" borderId="6" xfId="3" applyFont="1" applyBorder="1">
      <alignment vertical="center"/>
    </xf>
    <xf numFmtId="0" fontId="0" fillId="0" borderId="2" xfId="0" applyFont="1" applyBorder="1"/>
  </cellXfs>
  <cellStyles count="8">
    <cellStyle name="Bad" xfId="7" builtinId="27"/>
    <cellStyle name="DataStyle" xfId="2" xr:uid="{00000000-0005-0000-0000-000002000000}"/>
    <cellStyle name="HeaderStyle" xfId="1" xr:uid="{00000000-0005-0000-0000-000001000000}"/>
    <cellStyle name="InstructionHeaderStyle" xfId="5" xr:uid="{00000000-0005-0000-0000-000005000000}"/>
    <cellStyle name="InstructionStyle" xfId="6" xr:uid="{00000000-0005-0000-0000-000006000000}"/>
    <cellStyle name="Normal" xfId="0" builtinId="0"/>
    <cellStyle name="ReadOnlyDateStyle" xfId="4" xr:uid="{00000000-0005-0000-0000-000004000000}"/>
    <cellStyle name="ReadOnlyStyle" xfId="3" xr:uid="{00000000-0005-0000-0000-000003000000}"/>
  </cellStyles>
  <dxfs count="5"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85"/>
  <sheetViews>
    <sheetView tabSelected="1" topLeftCell="J1" zoomScaleNormal="100" workbookViewId="0">
      <pane ySplit="3" topLeftCell="A4" activePane="bottomLeft" state="frozen"/>
      <selection pane="bottomLeft" activeCell="L21" sqref="L21"/>
    </sheetView>
  </sheetViews>
  <sheetFormatPr defaultRowHeight="15" x14ac:dyDescent="0.25"/>
  <cols>
    <col min="1" max="1" width="15.28515625" bestFit="1" customWidth="1"/>
    <col min="2" max="2" width="32.85546875" bestFit="1" customWidth="1"/>
    <col min="3" max="3" width="42.7109375" bestFit="1" customWidth="1"/>
    <col min="4" max="4" width="33.42578125" bestFit="1" customWidth="1"/>
    <col min="5" max="5" width="33.42578125" customWidth="1"/>
    <col min="6" max="6" width="15" customWidth="1"/>
    <col min="7" max="7" width="63.7109375" bestFit="1" customWidth="1"/>
    <col min="8" max="8" width="26" customWidth="1"/>
    <col min="9" max="9" width="24.7109375" customWidth="1"/>
    <col min="10" max="10" width="38.28515625" bestFit="1" customWidth="1"/>
    <col min="11" max="11" width="26.85546875" bestFit="1" customWidth="1"/>
    <col min="12" max="13" width="18" customWidth="1"/>
    <col min="14" max="14" width="14.140625" bestFit="1" customWidth="1"/>
    <col min="15" max="15" width="13.42578125" customWidth="1"/>
    <col min="16" max="16" width="16.28515625" bestFit="1" customWidth="1"/>
    <col min="17" max="17" width="23.42578125" bestFit="1" customWidth="1"/>
    <col min="18" max="19" width="15" customWidth="1"/>
    <col min="20" max="20" width="19.7109375" bestFit="1" customWidth="1"/>
    <col min="21" max="21" width="15" customWidth="1"/>
    <col min="22" max="22" width="20.28515625" customWidth="1"/>
    <col min="23" max="23" width="57.140625" bestFit="1" customWidth="1"/>
    <col min="24" max="24" width="32.85546875" customWidth="1"/>
    <col min="25" max="26" width="20" customWidth="1"/>
  </cols>
  <sheetData>
    <row r="1" spans="1:26" ht="21" x14ac:dyDescent="0.35">
      <c r="A1" s="141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Y1" s="145" t="s">
        <v>1</v>
      </c>
      <c r="Z1" s="142"/>
    </row>
    <row r="2" spans="1:26" x14ac:dyDescent="0.25">
      <c r="X2" s="1" t="s">
        <v>2</v>
      </c>
      <c r="Y2" s="143" t="s">
        <v>3</v>
      </c>
      <c r="Z2" s="144"/>
    </row>
    <row r="3" spans="1:26" ht="30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2324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2326</v>
      </c>
      <c r="T3" s="2" t="s">
        <v>2327</v>
      </c>
      <c r="U3" s="2" t="s">
        <v>2328</v>
      </c>
      <c r="V3" s="2" t="s">
        <v>2330</v>
      </c>
      <c r="W3" s="2" t="s">
        <v>21</v>
      </c>
      <c r="Y3" s="143" t="s">
        <v>22</v>
      </c>
      <c r="Z3" s="144"/>
    </row>
    <row r="4" spans="1:26" x14ac:dyDescent="0.25">
      <c r="A4" s="162" t="s">
        <v>23</v>
      </c>
      <c r="B4" s="162" t="str">
        <f>VLOOKUP(VLOOKUP(A4,DB_Locations!A:B,2,FALSE),DB_Patients!A:B,2,FALSE)</f>
        <v>FERJENI FRADJ</v>
      </c>
      <c r="C4" s="162" t="str">
        <f>VLOOKUP(VLOOKUP(A4,DB_Locations!A:B,2,FALSE),DB_Patients!A:H,8,FALSE)&amp;IF(VLOOKUP(VLOOKUP(A4,DB_Locations!A:B,2,FALSE),DB_Patients!A:I,9,FALSE)&lt;&gt;""," ("&amp;VLOOKUP(VLOOKUP(A4,DB_Locations!A:B,2,FALSE),DB_Patients!A:I,9,FALSE)&amp;")","")</f>
        <v>98534317 (FRADJ)</v>
      </c>
      <c r="D4" s="162" t="str">
        <f>VLOOKUP(VLOOKUP(A4,DB_Locations!A:B,2,FALSE),DB_Patients!A:J,10,FALSE)&amp;" ("&amp;VLOOKUP(VLOOKUP(A4,DB_Locations!A:B,2,FALSE),DB_Patients!A:K,11,FALSE)&amp;")"</f>
        <v>25091528 (NEJIB FILS)</v>
      </c>
      <c r="E4" s="162" t="str">
        <f>VLOOKUP(VLOOKUP(A4,DB_Locations!A:B,2,FALSE),DB_Patients!A:F,6,FALSE)</f>
        <v>BOUFICHA</v>
      </c>
      <c r="F4" s="162" t="str">
        <f>VLOOKUP(VLOOKUP(A4,DB_Locations!A:B,2,FALSE),DB_Patients!A:M,13,FALSE)</f>
        <v>CNAM</v>
      </c>
      <c r="G4" s="162" t="str">
        <f>VLOOKUP(VLOOKUP(A4,DB_Locations!A:B,2,FALSE),DB_Patients!A:L,12,FALSE)</f>
        <v>SLIM BEN MANSOUR</v>
      </c>
      <c r="H4" s="162" t="str">
        <f>VLOOKUP(A4,DB_Locations!A:F,6,FALSE)</f>
        <v>BILEL BOUHLEL</v>
      </c>
      <c r="I4" s="162" t="str">
        <f>VLOOKUP(A4,DB_Locations!A:G,7,FALSE)</f>
        <v>Bilel Bouhlel</v>
      </c>
      <c r="J4" s="162" t="str">
        <f>VLOOKUP(VLOOKUP(A4,DB_Locations!A:C,3,FALSE),DB_Appareils!A:B,2,FALSE)</f>
        <v xml:space="preserve">VNI </v>
      </c>
      <c r="K4" s="161">
        <f>VLOOKUP(A4,DB_Locations!A:D,4,FALSE)</f>
        <v>44084</v>
      </c>
      <c r="L4" s="161" cm="1">
        <f t="array" ref="L4">IF(COUNTIF(DB_Paiements!B:B,A4)=0,"",LOOKUP(2,1/(DB_Paiements!B:B=A4),DB_Paiements!D:D))</f>
        <v>45715</v>
      </c>
      <c r="M4" s="161" cm="1">
        <f t="array" ref="M4">IF(COUNTIF(DB_Paiements!B:B,A4)=0,"",LOOKUP(2,1/(DB_Paiements!B:B=A4),DB_Paiements!E:E))</f>
        <v>45895</v>
      </c>
      <c r="N4" s="162" t="str" cm="1">
        <f t="array" ref="N4">IF(COUNTIF(DB_Paiements!B:B,A4)=0,"",LOOKUP(2,1/(DB_Paiements!B:B=A4),DB_Paiements!G:G))</f>
        <v>CNAM</v>
      </c>
      <c r="O4" s="162" cm="1">
        <f t="array" ref="O4">IF(COUNTIF(DB_Paiements!B:B,A4)=0,"",LOOKUP(2,1/(DB_Paiements!B:B=A4),DB_Paiements!F:F))</f>
        <v>2580</v>
      </c>
      <c r="P4" s="159">
        <v>45901</v>
      </c>
      <c r="Q4" s="162">
        <f ca="1">IF(M4&lt;&gt;"",TODAY()-M4,"")</f>
        <v>0</v>
      </c>
      <c r="R4" s="162" t="str">
        <f>VLOOKUP(VLOOKUP(A4,DB_Locations!A:C,3,FALSE),DB_Appareils!A:F,6,FALSE)</f>
        <v xml:space="preserve">En location </v>
      </c>
      <c r="S4" s="162" t="str">
        <f>VLOOKUP(A4,DB_Locations!A:I,9,FALSE)</f>
        <v>Actif</v>
      </c>
      <c r="T4" s="162"/>
      <c r="U4" s="163"/>
      <c r="V4" s="164"/>
      <c r="W4" s="164" t="s">
        <v>1154</v>
      </c>
      <c r="Y4" s="143" t="s">
        <v>24</v>
      </c>
      <c r="Z4" s="144"/>
    </row>
    <row r="5" spans="1:26" x14ac:dyDescent="0.25">
      <c r="A5" s="162" t="s">
        <v>25</v>
      </c>
      <c r="B5" s="162" t="str">
        <f>VLOOKUP(VLOOKUP(A5,DB_Locations!A:B,2,FALSE),DB_Patients!A:B,2,FALSE)</f>
        <v>FERJENI FRADJ</v>
      </c>
      <c r="C5" s="162" t="str">
        <f>VLOOKUP(VLOOKUP(A5,DB_Locations!A:B,2,FALSE),DB_Patients!A:H,8,FALSE)&amp;IF(VLOOKUP(VLOOKUP(A5,DB_Locations!A:B,2,FALSE),DB_Patients!A:I,9,FALSE)&lt;&gt;""," ("&amp;VLOOKUP(VLOOKUP(A5,DB_Locations!A:B,2,FALSE),DB_Patients!A:I,9,FALSE)&amp;")","")</f>
        <v>98534317 (FRADJ)</v>
      </c>
      <c r="D5" s="162" t="str">
        <f>VLOOKUP(VLOOKUP(A5,DB_Locations!A:B,2,FALSE),DB_Patients!A:J,10,FALSE)&amp;" ("&amp;VLOOKUP(VLOOKUP(A5,DB_Locations!A:B,2,FALSE),DB_Patients!A:K,11,FALSE)&amp;")"</f>
        <v>25091528 (NEJIB FILS)</v>
      </c>
      <c r="E5" s="162" t="str">
        <f>VLOOKUP(VLOOKUP(A5,DB_Locations!A:B,2,FALSE),DB_Patients!A:F,6,FALSE)</f>
        <v>BOUFICHA</v>
      </c>
      <c r="F5" s="162" t="str">
        <f>VLOOKUP(VLOOKUP(A5,DB_Locations!A:B,2,FALSE),DB_Patients!A:M,13,FALSE)</f>
        <v>CNAM</v>
      </c>
      <c r="G5" s="162" t="str">
        <f>VLOOKUP(VLOOKUP(A5,DB_Locations!A:B,2,FALSE),DB_Patients!A:L,12,FALSE)</f>
        <v>SLIM BEN MANSOUR</v>
      </c>
      <c r="H5" s="162" t="str">
        <f>VLOOKUP(A5,DB_Locations!A:F,6,FALSE)</f>
        <v>BILEL BOUHLEL</v>
      </c>
      <c r="I5" s="162" t="str">
        <f>VLOOKUP(A5,DB_Locations!A:G,7,FALSE)</f>
        <v>BILEL Bouhlel</v>
      </c>
      <c r="J5" s="162" t="str">
        <f>VLOOKUP(VLOOKUP(A5,DB_Locations!A:C,3,FALSE),DB_Appareils!A:B,2,FALSE)</f>
        <v xml:space="preserve">CONCENTRATEUR O2 </v>
      </c>
      <c r="K5" s="161">
        <f>VLOOKUP(A5,DB_Locations!A:D,4,FALSE)</f>
        <v>43388</v>
      </c>
      <c r="L5" s="161" cm="1">
        <f t="array" ref="L5">IF(COUNTIF(DB_Paiements!B:B,A5)=0,"",LOOKUP(2,1/(DB_Paiements!B:B=A5),DB_Paiements!D:D))</f>
        <v>45712</v>
      </c>
      <c r="M5" s="161" cm="1">
        <f t="array" ref="M5">IF(COUNTIF(DB_Paiements!B:B,A5)=0,"",LOOKUP(2,1/(DB_Paiements!B:B=A5),DB_Paiements!E:E))</f>
        <v>45800</v>
      </c>
      <c r="N5" s="162" t="str" cm="1">
        <f t="array" ref="N5">IF(COUNTIF(DB_Paiements!B:B,A5)=0,"",LOOKUP(2,1/(DB_Paiements!B:B=A5),DB_Paiements!G:G))</f>
        <v>CNAM</v>
      </c>
      <c r="O5" s="162" cm="1">
        <f t="array" ref="O5">IF(COUNTIF(DB_Paiements!B:B,A5)=0,"",LOOKUP(2,1/(DB_Paiements!B:B=A5),DB_Paiements!F:F))</f>
        <v>570</v>
      </c>
      <c r="P5" s="159">
        <v>45901</v>
      </c>
      <c r="Q5" s="162">
        <f t="shared" ref="Q5:Q7" ca="1" si="0">IF(M5&lt;&gt;"",TODAY()-M5,"")</f>
        <v>95</v>
      </c>
      <c r="R5" s="162" t="str">
        <f>VLOOKUP(VLOOKUP(A5,DB_Locations!A:C,3,FALSE),DB_Appareils!A:F,6,FALSE)</f>
        <v xml:space="preserve">En location </v>
      </c>
      <c r="S5" s="162" t="str">
        <f>VLOOKUP(A5,DB_Locations!A:I,9,FALSE)</f>
        <v>Actif</v>
      </c>
      <c r="T5" s="162" t="s">
        <v>2329</v>
      </c>
      <c r="U5" s="163">
        <v>45800</v>
      </c>
      <c r="V5" s="164">
        <f t="shared" ref="V5:V13" ca="1" si="1">IF(U5&lt;&gt;"",TODAY()-U5,"")</f>
        <v>95</v>
      </c>
      <c r="W5" s="164" t="s">
        <v>2425</v>
      </c>
      <c r="Y5" s="143" t="s">
        <v>26</v>
      </c>
      <c r="Z5" s="144"/>
    </row>
    <row r="6" spans="1:26" x14ac:dyDescent="0.25">
      <c r="A6" s="162" t="s">
        <v>1408</v>
      </c>
      <c r="B6" s="162" t="str">
        <f>VLOOKUP(VLOOKUP(A6,DB_Locations!A:B,2,FALSE),DB_Patients!A:B,2,FALSE)</f>
        <v>SLIMANE DHAOU</v>
      </c>
      <c r="C6" s="162" t="str">
        <f>VLOOKUP(VLOOKUP(A6,DB_Locations!A:B,2,FALSE),DB_Patients!A:H,8,FALSE)&amp;IF(VLOOKUP(VLOOKUP(A6,DB_Locations!A:B,2,FALSE),DB_Patients!A:I,9,FALSE)&lt;&gt;""," ("&amp;VLOOKUP(VLOOKUP(A6,DB_Locations!A:B,2,FALSE),DB_Patients!A:I,9,FALSE)&amp;")","")</f>
        <v>58799136 (SA FILLE)</v>
      </c>
      <c r="D6" s="162" t="str">
        <f>VLOOKUP(VLOOKUP(A6,DB_Locations!A:B,2,FALSE),DB_Patients!A:J,10,FALSE)&amp;" ("&amp;VLOOKUP(VLOOKUP(A6,DB_Locations!A:B,2,FALSE),DB_Patients!A:K,11,FALSE)&amp;")"</f>
        <v>92294775 ()</v>
      </c>
      <c r="E6" s="162" t="str">
        <f>VLOOKUP(VLOOKUP(A6,DB_Locations!A:B,2,FALSE),DB_Patients!A:F,6,FALSE)</f>
        <v>KALAA SGHIRA</v>
      </c>
      <c r="F6" s="162" t="str">
        <f>VLOOKUP(VLOOKUP(A6,DB_Locations!A:B,2,FALSE),DB_Patients!A:M,13,FALSE)</f>
        <v>CNAM</v>
      </c>
      <c r="G6" s="162" t="str">
        <f>VLOOKUP(VLOOKUP(A6,DB_Locations!A:B,2,FALSE),DB_Patients!A:L,12,FALSE)</f>
        <v>GARGOURI IMEN</v>
      </c>
      <c r="H6" s="162" t="str">
        <f>VLOOKUP(A6,DB_Locations!A:F,6,FALSE)</f>
        <v>BILEL BOUHLEL</v>
      </c>
      <c r="I6" s="162">
        <f>VLOOKUP(A6,DB_Locations!A:G,7,FALSE)</f>
        <v>0</v>
      </c>
      <c r="J6" s="162" t="str">
        <f>VLOOKUP(VLOOKUP(A6,DB_Locations!A:C,3,FALSE),DB_Appareils!A:B,2,FALSE)</f>
        <v>CONCENTRATEUR O2</v>
      </c>
      <c r="K6" s="161">
        <f>VLOOKUP(A6,DB_Locations!A:D,4,FALSE)</f>
        <v>45138</v>
      </c>
      <c r="L6" s="161" cm="1">
        <f t="array" ref="L6">IF(COUNTIF(DB_Paiements!B:B,A6)=0,"",LOOKUP(2,1/(DB_Paiements!B:B=A6),DB_Paiements!D:D))</f>
        <v>45806</v>
      </c>
      <c r="M6" s="161" cm="1">
        <f t="array" ref="M6">IF(COUNTIF(DB_Paiements!B:B,A6)=0,"",LOOKUP(2,1/(DB_Paiements!B:B=A6),DB_Paiements!E:E))</f>
        <v>45897</v>
      </c>
      <c r="N6" s="162" t="str" cm="1">
        <f t="array" ref="N6">IF(COUNTIF(DB_Paiements!B:B,A6)=0,"",LOOKUP(2,1/(DB_Paiements!B:B=A6),DB_Paiements!G:G))</f>
        <v>CNAM</v>
      </c>
      <c r="O6" s="162" cm="1">
        <f t="array" ref="O6">IF(COUNTIF(DB_Paiements!B:B,A6)=0,"",LOOKUP(2,1/(DB_Paiements!B:B=A6),DB_Paiements!F:F))</f>
        <v>570</v>
      </c>
      <c r="P6" s="160" t="s">
        <v>2182</v>
      </c>
      <c r="Q6" s="162">
        <f ca="1">IF(M6&lt;&gt;"",TODAY()-M6,"")</f>
        <v>-2</v>
      </c>
      <c r="R6" s="162" t="str">
        <f>VLOOKUP(VLOOKUP(A6,DB_Locations!A:C,3,FALSE),DB_Appareils!A:F,6,FALSE)</f>
        <v xml:space="preserve">En location </v>
      </c>
      <c r="S6" s="162" t="str">
        <f>VLOOKUP(A6,DB_Locations!A:I,9,FALSE)</f>
        <v>Actif</v>
      </c>
      <c r="T6" s="162"/>
      <c r="U6" s="162"/>
      <c r="V6" s="164" t="str">
        <f ca="1">IF(U6&lt;&gt;"",TODAY()-U6,"")</f>
        <v/>
      </c>
      <c r="W6" s="164" t="s">
        <v>2181</v>
      </c>
      <c r="Y6" s="143"/>
      <c r="Z6" s="144"/>
    </row>
    <row r="7" spans="1:26" x14ac:dyDescent="0.25">
      <c r="A7" s="162" t="s">
        <v>1087</v>
      </c>
      <c r="B7" s="162" t="str">
        <f>VLOOKUP(VLOOKUP(A7,DB_Locations!A:B,2,FALSE),DB_Patients!A:B,2,FALSE)</f>
        <v>BOUKHRISS AMEUR</v>
      </c>
      <c r="C7" s="162" t="str">
        <f>VLOOKUP(VLOOKUP(A7,DB_Locations!A:B,2,FALSE),DB_Patients!A:H,8,FALSE)&amp;IF(VLOOKUP(VLOOKUP(A7,DB_Locations!A:B,2,FALSE),DB_Patients!A:I,9,FALSE)&lt;&gt;""," ("&amp;VLOOKUP(VLOOKUP(A7,DB_Locations!A:B,2,FALSE),DB_Patients!A:I,9,FALSE)&amp;")","")</f>
        <v>52428102 (fils)</v>
      </c>
      <c r="D7" s="162" t="str">
        <f>VLOOKUP(VLOOKUP(A7,DB_Locations!A:B,2,FALSE),DB_Patients!A:J,10,FALSE)&amp;" ("&amp;VLOOKUP(VLOOKUP(A7,DB_Locations!A:B,2,FALSE),DB_Patients!A:K,11,FALSE)&amp;")"</f>
        <v>52139520 (fils)</v>
      </c>
      <c r="E7" s="162" t="str">
        <f>VLOOKUP(VLOOKUP(A7,DB_Locations!A:B,2,FALSE),DB_Patients!A:F,6,FALSE)</f>
        <v>MANZEL BOURGUIBA</v>
      </c>
      <c r="F7" s="162" t="str">
        <f>VLOOKUP(VLOOKUP(A7,DB_Locations!A:B,2,FALSE),DB_Patients!A:M,13,FALSE)</f>
        <v>CNAM</v>
      </c>
      <c r="G7" s="162" t="str">
        <f>VLOOKUP(VLOOKUP(A7,DB_Locations!A:B,2,FALSE),DB_Patients!A:L,12,FALSE)</f>
        <v>OTHMEN NAFFETY</v>
      </c>
      <c r="H7" s="162" t="str">
        <f>VLOOKUP(A7,DB_Locations!A:F,6,FALSE)</f>
        <v>SOUHAIEB BEN SAHRA</v>
      </c>
      <c r="I7" s="162" t="str">
        <f>VLOOKUP(A7,DB_Locations!A:G,7,FALSE)</f>
        <v>SOUHAIEB BEN SAHRA</v>
      </c>
      <c r="J7" s="162" t="str">
        <f>VLOOKUP(VLOOKUP(A7,DB_Locations!A:C,3,FALSE),DB_Appareils!A:B,2,FALSE)</f>
        <v>CONCENTRATEUR O2</v>
      </c>
      <c r="K7" s="161">
        <f>VLOOKUP(A7,DB_Locations!A:D,4,FALSE)</f>
        <v>45744</v>
      </c>
      <c r="L7" s="161" cm="1">
        <f t="array" ref="L7">IF(COUNTIF(DB_Paiements!B:B,A7)=0,"",LOOKUP(2,1/(DB_Paiements!B:B=A7),DB_Paiements!D:D))</f>
        <v>45877</v>
      </c>
      <c r="M7" s="161" cm="1">
        <f t="array" ref="M7">IF(COUNTIF(DB_Paiements!B:B,A7)=0,"",LOOKUP(2,1/(DB_Paiements!B:B=A7),DB_Paiements!E:E))</f>
        <v>45968</v>
      </c>
      <c r="N7" s="162" t="str" cm="1">
        <f t="array" ref="N7">IF(COUNTIF(DB_Paiements!B:B,A7)=0,"",LOOKUP(2,1/(DB_Paiements!B:B=A7),DB_Paiements!G:G))</f>
        <v>CNAM</v>
      </c>
      <c r="O7" s="162" cm="1">
        <f t="array" ref="O7">IF(COUNTIF(DB_Paiements!B:B,A7)=0,"",LOOKUP(2,1/(DB_Paiements!B:B=A7),DB_Paiements!F:F))</f>
        <v>570</v>
      </c>
      <c r="P7" s="160">
        <v>45964</v>
      </c>
      <c r="Q7" s="162">
        <f ca="1">IF(M7&lt;&gt;"",TODAY()-M7,"")</f>
        <v>-73</v>
      </c>
      <c r="R7" s="162" t="str">
        <f>VLOOKUP(VLOOKUP(A7,DB_Locations!A:C,3,FALSE),DB_Appareils!A:F,6,FALSE)</f>
        <v xml:space="preserve">En location </v>
      </c>
      <c r="S7" s="162" t="str">
        <f>VLOOKUP(A7,DB_Locations!A:I,9,FALSE)</f>
        <v>ACTIF</v>
      </c>
      <c r="T7" s="162"/>
      <c r="U7" s="162"/>
      <c r="V7" s="164" t="str">
        <f ca="1">IF(U7&lt;&gt;"",TODAY()-U7,"")</f>
        <v/>
      </c>
      <c r="W7" s="164" t="s">
        <v>2428</v>
      </c>
      <c r="Y7" s="143" t="s">
        <v>28</v>
      </c>
      <c r="Z7" s="144"/>
    </row>
    <row r="8" spans="1:26" x14ac:dyDescent="0.25">
      <c r="A8" s="162" t="s">
        <v>1124</v>
      </c>
      <c r="B8" s="162" t="str">
        <f>VLOOKUP(VLOOKUP(A8,DB_Locations!A:B,2,FALSE),DB_Patients!A:B,2,FALSE)</f>
        <v>BOUKHRISS AMEUR</v>
      </c>
      <c r="C8" s="162" t="str">
        <f>VLOOKUP(VLOOKUP(A8,DB_Locations!A:B,2,FALSE),DB_Patients!A:H,8,FALSE)&amp;IF(VLOOKUP(VLOOKUP(A8,DB_Locations!A:B,2,FALSE),DB_Patients!A:I,9,FALSE)&lt;&gt;""," ("&amp;VLOOKUP(VLOOKUP(A8,DB_Locations!A:B,2,FALSE),DB_Patients!A:I,9,FALSE)&amp;")","")</f>
        <v>52428102 (fils)</v>
      </c>
      <c r="D8" s="162" t="str">
        <f>VLOOKUP(VLOOKUP(A8,DB_Locations!A:B,2,FALSE),DB_Patients!A:J,10,FALSE)&amp;" ("&amp;VLOOKUP(VLOOKUP(A8,DB_Locations!A:B,2,FALSE),DB_Patients!A:K,11,FALSE)&amp;")"</f>
        <v>52139520 (fils)</v>
      </c>
      <c r="E8" s="162" t="str">
        <f>VLOOKUP(VLOOKUP(A8,DB_Locations!A:B,2,FALSE),DB_Patients!A:F,6,FALSE)</f>
        <v>MANZEL BOURGUIBA</v>
      </c>
      <c r="F8" s="162" t="str">
        <f>VLOOKUP(VLOOKUP(A8,DB_Locations!A:B,2,FALSE),DB_Patients!A:M,13,FALSE)</f>
        <v>CNAM</v>
      </c>
      <c r="G8" s="162" t="str">
        <f>VLOOKUP(VLOOKUP(A8,DB_Locations!A:B,2,FALSE),DB_Patients!A:L,12,FALSE)</f>
        <v>OTHMEN NAFFETY</v>
      </c>
      <c r="H8" s="162" t="str">
        <f>VLOOKUP(A8,DB_Locations!A:F,6,FALSE)</f>
        <v>SOUHAIEB BEN SAHRA</v>
      </c>
      <c r="I8" s="162" t="str">
        <f>VLOOKUP(A8,DB_Locations!A:G,7,FALSE)</f>
        <v>SOUHAIEB BEN SAHRA</v>
      </c>
      <c r="J8" s="162" t="str">
        <f>VLOOKUP(VLOOKUP(A8,DB_Locations!A:C,3,FALSE),DB_Appareils!A:B,2,FALSE)</f>
        <v>VNI</v>
      </c>
      <c r="K8" s="161">
        <f>VLOOKUP(A8,DB_Locations!A:D,4,FALSE)</f>
        <v>45726</v>
      </c>
      <c r="L8" s="161" cm="1">
        <f t="array" ref="L8">IF(COUNTIF(DB_Paiements!B:B,A8)=0,"",LOOKUP(2,1/(DB_Paiements!B:B=A8),DB_Paiements!D:D))</f>
        <v>45877</v>
      </c>
      <c r="M8" s="161" cm="1">
        <f t="array" ref="M8">IF(COUNTIF(DB_Paiements!B:B,A8)=0,"",LOOKUP(2,1/(DB_Paiements!B:B=A8),DB_Paiements!E:E))</f>
        <v>46060</v>
      </c>
      <c r="N8" s="162" t="str" cm="1">
        <f t="array" ref="N8">IF(COUNTIF(DB_Paiements!B:B,A8)=0,"",LOOKUP(2,1/(DB_Paiements!B:B=A8),DB_Paiements!G:G))</f>
        <v>CNAM</v>
      </c>
      <c r="O8" s="162" cm="1">
        <f t="array" ref="O8">IF(COUNTIF(DB_Paiements!B:B,A8)=0,"",LOOKUP(2,1/(DB_Paiements!B:B=A8),DB_Paiements!F:F))</f>
        <v>2580</v>
      </c>
      <c r="P8" s="160">
        <v>46055</v>
      </c>
      <c r="Q8" s="162">
        <f ca="1">IF(M8&lt;&gt;"",TODAY()-M8,"")</f>
        <v>-165</v>
      </c>
      <c r="R8" s="162" t="str">
        <f>VLOOKUP(VLOOKUP(A8,DB_Locations!A:C,3,FALSE),DB_Appareils!A:F,6,FALSE)</f>
        <v xml:space="preserve">En location </v>
      </c>
      <c r="S8" s="162" t="str">
        <f>VLOOKUP(A8,DB_Locations!A:I,9,FALSE)</f>
        <v>Actif</v>
      </c>
      <c r="T8" s="162"/>
      <c r="U8" s="162"/>
      <c r="V8" s="164"/>
      <c r="W8" s="164" t="s">
        <v>2428</v>
      </c>
      <c r="Y8" s="143" t="s">
        <v>29</v>
      </c>
      <c r="Z8" s="144"/>
    </row>
    <row r="9" spans="1:26" x14ac:dyDescent="0.25">
      <c r="A9" s="162" t="s">
        <v>1409</v>
      </c>
      <c r="B9" s="162" t="str">
        <f>VLOOKUP(VLOOKUP(A9,DB_Locations!A:B,2,FALSE),DB_Patients!A:B,2,FALSE)</f>
        <v>SLIMANE DHAOU</v>
      </c>
      <c r="C9" s="162" t="str">
        <f>VLOOKUP(VLOOKUP(A9,DB_Locations!A:B,2,FALSE),DB_Patients!A:H,8,FALSE)&amp;IF(VLOOKUP(VLOOKUP(A9,DB_Locations!A:B,2,FALSE),DB_Patients!A:I,9,FALSE)&lt;&gt;""," ("&amp;VLOOKUP(VLOOKUP(A9,DB_Locations!A:B,2,FALSE),DB_Patients!A:I,9,FALSE)&amp;")","")</f>
        <v>58799136 (SA FILLE)</v>
      </c>
      <c r="D9" s="162" t="str">
        <f>VLOOKUP(VLOOKUP(A9,DB_Locations!A:B,2,FALSE),DB_Patients!A:J,10,FALSE)&amp;" ("&amp;VLOOKUP(VLOOKUP(A9,DB_Locations!A:B,2,FALSE),DB_Patients!A:K,11,FALSE)&amp;")"</f>
        <v>92294775 ()</v>
      </c>
      <c r="E9" s="162" t="str">
        <f>VLOOKUP(VLOOKUP(A9,DB_Locations!A:B,2,FALSE),DB_Patients!A:F,6,FALSE)</f>
        <v>KALAA SGHIRA</v>
      </c>
      <c r="F9" s="162" t="str">
        <f>VLOOKUP(VLOOKUP(A9,DB_Locations!A:B,2,FALSE),DB_Patients!A:M,13,FALSE)</f>
        <v>CNAM</v>
      </c>
      <c r="G9" s="162" t="str">
        <f>VLOOKUP(VLOOKUP(A9,DB_Locations!A:B,2,FALSE),DB_Patients!A:L,12,FALSE)</f>
        <v>GARGOURI IMEN</v>
      </c>
      <c r="H9" s="162" t="str">
        <f>VLOOKUP(A9,DB_Locations!A:F,6,FALSE)</f>
        <v>BILEL BOUHLEL</v>
      </c>
      <c r="I9" s="162">
        <f>VLOOKUP(A9,DB_Locations!A:G,7,FALSE)</f>
        <v>0</v>
      </c>
      <c r="J9" s="162" t="str">
        <f>VLOOKUP(VLOOKUP(A9,DB_Locations!A:C,3,FALSE),DB_Appareils!A:B,2,FALSE)</f>
        <v>VNI  + BOUTEUIL APP0189</v>
      </c>
      <c r="K9" s="161">
        <f>VLOOKUP(A9,DB_Locations!A:D,4,FALSE)</f>
        <v>45138</v>
      </c>
      <c r="L9" s="161" cm="1">
        <f t="array" ref="L9">IF(COUNTIF(DB_Paiements!B:B,A9)=0,"",LOOKUP(2,1/(DB_Paiements!B:B=A9),DB_Paiements!D:D))</f>
        <v>45700</v>
      </c>
      <c r="M9" s="161" cm="1">
        <f t="array" ref="M9">IF(COUNTIF(DB_Paiements!B:B,A9)=0,"",LOOKUP(2,1/(DB_Paiements!B:B=A9),DB_Paiements!E:E))</f>
        <v>45880</v>
      </c>
      <c r="N9" s="162" t="str" cm="1">
        <f t="array" ref="N9">IF(COUNTIF(DB_Paiements!B:B,A9)=0,"",LOOKUP(2,1/(DB_Paiements!B:B=A9),DB_Paiements!G:G))</f>
        <v>CNAM</v>
      </c>
      <c r="O9" s="162" cm="1">
        <f t="array" ref="O9">IF(COUNTIF(DB_Paiements!B:B,A9)=0,"",LOOKUP(2,1/(DB_Paiements!B:B=A9),DB_Paiements!F:F))</f>
        <v>2580</v>
      </c>
      <c r="P9" s="160" t="s">
        <v>2182</v>
      </c>
      <c r="Q9" s="162">
        <f ca="1">IF(M9&lt;&gt;"",TODAY()-M9,"")</f>
        <v>15</v>
      </c>
      <c r="R9" s="162" t="str">
        <f>VLOOKUP(VLOOKUP(A9,DB_Locations!A:C,3,FALSE),DB_Appareils!A:F,6,FALSE)</f>
        <v xml:space="preserve">En location </v>
      </c>
      <c r="S9" s="162" t="str">
        <f>VLOOKUP(A9,DB_Locations!A:I,9,FALSE)</f>
        <v>Actif</v>
      </c>
      <c r="T9" s="162"/>
      <c r="U9" s="162"/>
      <c r="V9" s="164" t="str">
        <f ca="1">IF(U9&lt;&gt;"",TODAY()-U9,"")</f>
        <v/>
      </c>
      <c r="W9" s="164" t="s">
        <v>2181</v>
      </c>
      <c r="Y9" s="143" t="s">
        <v>30</v>
      </c>
      <c r="Z9" s="144"/>
    </row>
    <row r="10" spans="1:26" x14ac:dyDescent="0.25">
      <c r="A10" s="162" t="s">
        <v>1135</v>
      </c>
      <c r="B10" s="162" t="str">
        <f>VLOOKUP(VLOOKUP(A10,DB_Locations!A:B,2,FALSE),DB_Patients!A:B,2,FALSE)</f>
        <v>DOUIB MED BEN HASSEN</v>
      </c>
      <c r="C10" s="162" t="str">
        <f>VLOOKUP(VLOOKUP(A10,DB_Locations!A:B,2,FALSE),DB_Patients!A:H,8,FALSE)&amp;IF(VLOOKUP(VLOOKUP(A10,DB_Locations!A:B,2,FALSE),DB_Patients!A:I,9,FALSE)&lt;&gt;""," ("&amp;VLOOKUP(VLOOKUP(A10,DB_Locations!A:B,2,FALSE),DB_Patients!A:I,9,FALSE)&amp;")","")</f>
        <v>22899936 (SOFIENNE)</v>
      </c>
      <c r="D10" s="162" t="str">
        <f>VLOOKUP(VLOOKUP(A10,DB_Locations!A:B,2,FALSE),DB_Patients!A:J,10,FALSE)&amp;" ("&amp;VLOOKUP(VLOOKUP(A10,DB_Locations!A:B,2,FALSE),DB_Patients!A:K,11,FALSE)&amp;")"</f>
        <v>97 326 679 NAJIB (98 317 244FAOUZI)</v>
      </c>
      <c r="E10" s="162" t="str">
        <f>VLOOKUP(VLOOKUP(A10,DB_Locations!A:B,2,FALSE),DB_Patients!A:F,6,FALSE)</f>
        <v>SBIKHA</v>
      </c>
      <c r="F10" s="162" t="str">
        <f>VLOOKUP(VLOOKUP(A10,DB_Locations!A:B,2,FALSE),DB_Patients!A:M,13,FALSE)</f>
        <v>CNAM</v>
      </c>
      <c r="G10" s="162" t="str">
        <f>VLOOKUP(VLOOKUP(A10,DB_Locations!A:B,2,FALSE),DB_Patients!A:L,12,FALSE)</f>
        <v>ABDELHAMID GARROUCH</v>
      </c>
      <c r="H10" s="162" t="str">
        <f>VLOOKUP(A10,DB_Locations!A:F,6,FALSE)</f>
        <v>KARIM</v>
      </c>
      <c r="I10" s="162" t="str">
        <f>VLOOKUP(A10,DB_Locations!A:G,7,FALSE)</f>
        <v>AHMED GAZZEH</v>
      </c>
      <c r="J10" s="162" t="str">
        <f>VLOOKUP(VLOOKUP(A10,DB_Locations!A:C,3,FALSE),DB_Appareils!A:B,2,FALSE)</f>
        <v>VNI</v>
      </c>
      <c r="K10" s="161">
        <f>VLOOKUP(A10,DB_Locations!A:D,4,FALSE)</f>
        <v>43414</v>
      </c>
      <c r="L10" s="161" cm="1">
        <f t="array" ref="L10">IF(COUNTIF(DB_Paiements!B:B,A10)=0,"",LOOKUP(2,1/(DB_Paiements!B:B=A10),DB_Paiements!D:D))</f>
        <v>45713</v>
      </c>
      <c r="M10" s="161" cm="1">
        <f t="array" ref="M10">IF(COUNTIF(DB_Paiements!B:B,A10)=0,"",LOOKUP(2,1/(DB_Paiements!B:B=A10),DB_Paiements!E:E))</f>
        <v>45893</v>
      </c>
      <c r="N10" s="162" t="str" cm="1">
        <f t="array" ref="N10">IF(COUNTIF(DB_Paiements!B:B,A10)=0,"",LOOKUP(2,1/(DB_Paiements!B:B=A10),DB_Paiements!G:G))</f>
        <v>CNAM</v>
      </c>
      <c r="O10" s="162" cm="1">
        <f t="array" ref="O10">IF(COUNTIF(DB_Paiements!B:B,A10)=0,"",LOOKUP(2,1/(DB_Paiements!B:B=A10),DB_Paiements!F:F))</f>
        <v>2580</v>
      </c>
      <c r="P10" s="160">
        <v>45895</v>
      </c>
      <c r="Q10" s="162">
        <f ca="1">IF(M10&lt;&gt;"",TODAY()-M10,"")</f>
        <v>2</v>
      </c>
      <c r="R10" s="162" t="str">
        <f>VLOOKUP(VLOOKUP(A10,DB_Locations!A:C,3,FALSE),DB_Appareils!A:F,6,FALSE)</f>
        <v xml:space="preserve">En location </v>
      </c>
      <c r="S10" s="162" t="str">
        <f>VLOOKUP(A10,DB_Locations!A:I,9,FALSE)</f>
        <v>Actif</v>
      </c>
      <c r="T10" s="162" t="s">
        <v>2346</v>
      </c>
      <c r="U10" s="162"/>
      <c r="V10" s="164" t="str">
        <f ca="1">IF(U10&lt;&gt;"",TODAY()-U10,"")</f>
        <v/>
      </c>
      <c r="W10" s="164" t="s">
        <v>2430</v>
      </c>
      <c r="Y10" s="143" t="s">
        <v>31</v>
      </c>
      <c r="Z10" s="144"/>
    </row>
    <row r="11" spans="1:26" x14ac:dyDescent="0.25">
      <c r="A11" s="162" t="s">
        <v>1138</v>
      </c>
      <c r="B11" s="162" t="str">
        <f>VLOOKUP(VLOOKUP(A11,DB_Locations!A:B,2,FALSE),DB_Patients!A:B,2,FALSE)</f>
        <v>DOUIB MED BEN HASSEN</v>
      </c>
      <c r="C11" s="162" t="str">
        <f>VLOOKUP(VLOOKUP(A11,DB_Locations!A:B,2,FALSE),DB_Patients!A:H,8,FALSE)&amp;IF(VLOOKUP(VLOOKUP(A11,DB_Locations!A:B,2,FALSE),DB_Patients!A:I,9,FALSE)&lt;&gt;""," ("&amp;VLOOKUP(VLOOKUP(A11,DB_Locations!A:B,2,FALSE),DB_Patients!A:I,9,FALSE)&amp;")","")</f>
        <v>22899936 (SOFIENNE)</v>
      </c>
      <c r="D11" s="162" t="str">
        <f>VLOOKUP(VLOOKUP(A11,DB_Locations!A:B,2,FALSE),DB_Patients!A:J,10,FALSE)&amp;" ("&amp;VLOOKUP(VLOOKUP(A11,DB_Locations!A:B,2,FALSE),DB_Patients!A:K,11,FALSE)&amp;")"</f>
        <v>97 326 679 NAJIB (98 317 244FAOUZI)</v>
      </c>
      <c r="E11" s="162" t="str">
        <f>VLOOKUP(VLOOKUP(A11,DB_Locations!A:B,2,FALSE),DB_Patients!A:F,6,FALSE)</f>
        <v>SBIKHA</v>
      </c>
      <c r="F11" s="162" t="str">
        <f>VLOOKUP(VLOOKUP(A11,DB_Locations!A:B,2,FALSE),DB_Patients!A:M,13,FALSE)</f>
        <v>CNAM</v>
      </c>
      <c r="G11" s="162" t="str">
        <f>VLOOKUP(VLOOKUP(A11,DB_Locations!A:B,2,FALSE),DB_Patients!A:L,12,FALSE)</f>
        <v>ABDELHAMID GARROUCH</v>
      </c>
      <c r="H11" s="162" t="str">
        <f>VLOOKUP(A11,DB_Locations!A:F,6,FALSE)</f>
        <v>KARIM</v>
      </c>
      <c r="I11" s="162" t="str">
        <f>VLOOKUP(A11,DB_Locations!A:G,7,FALSE)</f>
        <v>AHMED GAZZEH</v>
      </c>
      <c r="J11" s="162" t="str">
        <f>VLOOKUP(VLOOKUP(A11,DB_Locations!A:C,3,FALSE),DB_Appareils!A:B,2,FALSE)</f>
        <v>CONCENTRATEUR O2</v>
      </c>
      <c r="K11" s="161">
        <f>VLOOKUP(A11,DB_Locations!A:D,4,FALSE)</f>
        <v>43434</v>
      </c>
      <c r="L11" s="161" cm="1">
        <f t="array" ref="L11">IF(COUNTIF(DB_Paiements!B:B,A11)=0,"",LOOKUP(2,1/(DB_Paiements!B:B=A11),DB_Paiements!D:D))</f>
        <v>45802</v>
      </c>
      <c r="M11" s="161" cm="1">
        <f t="array" ref="M11">IF(COUNTIF(DB_Paiements!B:B,A11)=0,"",LOOKUP(2,1/(DB_Paiements!B:B=A11),DB_Paiements!E:E))</f>
        <v>45893</v>
      </c>
      <c r="N11" s="162" t="str" cm="1">
        <f t="array" ref="N11">IF(COUNTIF(DB_Paiements!B:B,A11)=0,"",LOOKUP(2,1/(DB_Paiements!B:B=A11),DB_Paiements!G:G))</f>
        <v>CNAM</v>
      </c>
      <c r="O11" s="162" cm="1">
        <f t="array" ref="O11">IF(COUNTIF(DB_Paiements!B:B,A11)=0,"",LOOKUP(2,1/(DB_Paiements!B:B=A11),DB_Paiements!F:F))</f>
        <v>570</v>
      </c>
      <c r="P11" s="160">
        <v>45895</v>
      </c>
      <c r="Q11" s="162">
        <f ca="1">IF(M11&lt;&gt;"",TODAY()-M11,"")</f>
        <v>2</v>
      </c>
      <c r="R11" s="162" t="str">
        <f>VLOOKUP(VLOOKUP(A11,DB_Locations!A:C,3,FALSE),DB_Appareils!A:F,6,FALSE)</f>
        <v xml:space="preserve">En location </v>
      </c>
      <c r="S11" s="162" t="str">
        <f>VLOOKUP(A11,DB_Locations!A:I,9,FALSE)</f>
        <v>ACTIF</v>
      </c>
      <c r="T11" s="162" t="s">
        <v>2346</v>
      </c>
      <c r="U11" s="162"/>
      <c r="V11" s="164" t="str">
        <f ca="1">IF(U11&lt;&gt;"",TODAY()-U11,"")</f>
        <v/>
      </c>
      <c r="W11" s="164" t="s">
        <v>2430</v>
      </c>
      <c r="Y11" s="143" t="s">
        <v>32</v>
      </c>
      <c r="Z11" s="144"/>
    </row>
    <row r="12" spans="1:26" x14ac:dyDescent="0.25">
      <c r="A12" s="162" t="s">
        <v>1142</v>
      </c>
      <c r="B12" s="162" t="str">
        <f>VLOOKUP(VLOOKUP(A12,DB_Locations!A:B,2,FALSE),DB_Patients!A:B,2,FALSE)</f>
        <v>BOUASKER AHMED</v>
      </c>
      <c r="C12" s="162" t="str">
        <f>VLOOKUP(VLOOKUP(A12,DB_Locations!A:B,2,FALSE),DB_Patients!A:H,8,FALSE)&amp;IF(VLOOKUP(VLOOKUP(A12,DB_Locations!A:B,2,FALSE),DB_Patients!A:I,9,FALSE)&lt;&gt;""," ("&amp;VLOOKUP(VLOOKUP(A12,DB_Locations!A:B,2,FALSE),DB_Patients!A:I,9,FALSE)&amp;")","")</f>
        <v>25827774 (HEDIA)</v>
      </c>
      <c r="D12" s="162" t="str">
        <f>VLOOKUP(VLOOKUP(A12,DB_Locations!A:B,2,FALSE),DB_Patients!A:J,10,FALSE)&amp;" ("&amp;VLOOKUP(VLOOKUP(A12,DB_Locations!A:B,2,FALSE),DB_Patients!A:K,11,FALSE)&amp;")"</f>
        <v xml:space="preserve"> ()</v>
      </c>
      <c r="E12" s="162" t="str">
        <f>VLOOKUP(VLOOKUP(A12,DB_Locations!A:B,2,FALSE),DB_Patients!A:F,6,FALSE)</f>
        <v>ZAOUIA SOUSSE</v>
      </c>
      <c r="F12" s="162" t="str">
        <f>VLOOKUP(VLOOKUP(A12,DB_Locations!A:B,2,FALSE),DB_Patients!A:M,13,FALSE)</f>
        <v>CNAM</v>
      </c>
      <c r="G12" s="162" t="str">
        <f>VLOOKUP(VLOOKUP(A12,DB_Locations!A:B,2,FALSE),DB_Patients!A:L,12,FALSE)</f>
        <v>ASMA KNAZ</v>
      </c>
      <c r="H12" s="162" t="str">
        <f>VLOOKUP(A12,DB_Locations!A:F,6,FALSE)</f>
        <v xml:space="preserve">BIEL </v>
      </c>
      <c r="I12" s="162" t="str">
        <f>VLOOKUP(A12,DB_Locations!A:G,7,FALSE)</f>
        <v>AHMED GAZZEH</v>
      </c>
      <c r="J12" s="162" t="str">
        <f>VLOOKUP(VLOOKUP(A12,DB_Locations!A:C,3,FALSE),DB_Appareils!A:B,2,FALSE)</f>
        <v>VNI</v>
      </c>
      <c r="K12" s="161">
        <f>VLOOKUP(A12,DB_Locations!A:D,4,FALSE)</f>
        <v>45892</v>
      </c>
      <c r="L12" s="161" cm="1">
        <f t="array" aca="1" ref="L12" ca="1">IF(COUNTIF(DB_Paiements!B:B,A12)=0,"",LOOKUP(2,1/(DB_Paiements!B:B=A12),DB_Paiements!D:D))</f>
        <v>45895</v>
      </c>
      <c r="M12" s="161" cm="1">
        <f t="array" ref="M12">IF(COUNTIF(DB_Paiements!B:B,A12)=0,"",LOOKUP(2,1/(DB_Paiements!B:B=A12),DB_Paiements!E:E))</f>
        <v>45892</v>
      </c>
      <c r="N12" s="162" t="str" cm="1">
        <f t="array" ref="N12">IF(COUNTIF(DB_Paiements!B:B,A12)=0,"",LOOKUP(2,1/(DB_Paiements!B:B=A12),DB_Paiements!G:G))</f>
        <v>CNAM</v>
      </c>
      <c r="O12" s="162" cm="1">
        <f t="array" aca="1" ref="O12" ca="1">IF(COUNTIF(DB_Paiements!B:B,A12)=0,"",LOOKUP(2,1/(DB_Paiements!B:B=A12),DB_Paiements!F:F))</f>
        <v>0</v>
      </c>
      <c r="P12" s="160">
        <v>45897</v>
      </c>
      <c r="Q12" s="162">
        <f ca="1">IF(M12&lt;&gt;"",TODAY()-M12,"")</f>
        <v>3</v>
      </c>
      <c r="R12" s="162" t="str">
        <f>VLOOKUP(VLOOKUP(A12,DB_Locations!A:C,3,FALSE),DB_Appareils!A:F,6,FALSE)</f>
        <v xml:space="preserve">En location </v>
      </c>
      <c r="S12" s="162" t="str">
        <f>VLOOKUP(A12,DB_Locations!A:I,9,FALSE)</f>
        <v>Actif</v>
      </c>
      <c r="T12" s="162" t="s">
        <v>2346</v>
      </c>
      <c r="U12" s="162"/>
      <c r="V12" s="164" t="str">
        <f ca="1">IF(U12&lt;&gt;"",TODAY()-U12,"")</f>
        <v/>
      </c>
      <c r="W12" s="164" t="s">
        <v>2431</v>
      </c>
      <c r="Y12" s="143"/>
      <c r="Z12" s="144"/>
    </row>
    <row r="13" spans="1:26" x14ac:dyDescent="0.25">
      <c r="A13" s="162" t="s">
        <v>1228</v>
      </c>
      <c r="B13" s="162" t="str">
        <f>VLOOKUP(VLOOKUP(A13,DB_Locations!A:B,2,FALSE),DB_Patients!A:B,2,FALSE)</f>
        <v>JALLED SELMA</v>
      </c>
      <c r="C13" s="162" t="str">
        <f>VLOOKUP(VLOOKUP(A13,DB_Locations!A:B,2,FALSE),DB_Patients!A:H,8,FALSE)&amp;IF(VLOOKUP(VLOOKUP(A13,DB_Locations!A:B,2,FALSE),DB_Patients!A:I,9,FALSE)&lt;&gt;""," ("&amp;VLOOKUP(VLOOKUP(A13,DB_Locations!A:B,2,FALSE),DB_Patients!A:I,9,FALSE)&amp;")","")</f>
        <v>29721073 (96272805)</v>
      </c>
      <c r="D13" s="162" t="str">
        <f>VLOOKUP(VLOOKUP(A13,DB_Locations!A:B,2,FALSE),DB_Patients!A:J,10,FALSE)&amp;" ("&amp;VLOOKUP(VLOOKUP(A13,DB_Locations!A:B,2,FALSE),DB_Patients!A:K,11,FALSE)&amp;")"</f>
        <v xml:space="preserve"> (22 583  894)</v>
      </c>
      <c r="E13" s="162" t="str">
        <f>VLOOKUP(VLOOKUP(A13,DB_Locations!A:B,2,FALSE),DB_Patients!A:F,6,FALSE)</f>
        <v>SAYEDA</v>
      </c>
      <c r="F13" s="162" t="str">
        <f>VLOOKUP(VLOOKUP(A13,DB_Locations!A:B,2,FALSE),DB_Patients!A:M,13,FALSE)</f>
        <v>CNAM</v>
      </c>
      <c r="G13" s="162" t="str">
        <f>VLOOKUP(VLOOKUP(A13,DB_Locations!A:B,2,FALSE),DB_Patients!A:L,12,FALSE)</f>
        <v>JABEUR SAMEH /SAOUSSEN CHIKH</v>
      </c>
      <c r="H13" s="162" t="str">
        <f>VLOOKUP(A13,DB_Locations!A:F,6,FALSE)</f>
        <v>KARIM</v>
      </c>
      <c r="I13" s="162">
        <f>VLOOKUP(A13,DB_Locations!A:G,7,FALSE)</f>
        <v>0</v>
      </c>
      <c r="J13" s="162" t="str">
        <f>VLOOKUP(VLOOKUP(A13,DB_Locations!A:C,3,FALSE),DB_Appareils!A:B,2,FALSE)</f>
        <v>CONCENTRATEUR O2</v>
      </c>
      <c r="K13" s="161">
        <f>VLOOKUP(A13,DB_Locations!A:D,4,FALSE)</f>
        <v>43677</v>
      </c>
      <c r="L13" s="161" cm="1">
        <f t="array" ref="L13">IF(COUNTIF(DB_Paiements!B:B,A13)=0,"",LOOKUP(2,1/(DB_Paiements!B:B=A13),DB_Paiements!D:D))</f>
        <v>45798</v>
      </c>
      <c r="M13" s="161" cm="1">
        <f t="array" ref="M13">IF(COUNTIF(DB_Paiements!B:B,A13)=0,"",LOOKUP(2,1/(DB_Paiements!B:B=A13),DB_Paiements!E:E))</f>
        <v>45889</v>
      </c>
      <c r="N13" s="162" t="str" cm="1">
        <f t="array" ref="N13">IF(COUNTIF(DB_Paiements!B:B,A13)=0,"",LOOKUP(2,1/(DB_Paiements!B:B=A13),DB_Paiements!G:G))</f>
        <v>CNAM</v>
      </c>
      <c r="O13" s="162" cm="1">
        <f t="array" ref="O13">IF(COUNTIF(DB_Paiements!B:B,A13)=0,"",LOOKUP(2,1/(DB_Paiements!B:B=A13),DB_Paiements!F:F))</f>
        <v>570</v>
      </c>
      <c r="P13" s="160">
        <v>45898</v>
      </c>
      <c r="Q13" s="162">
        <f ca="1">IF(M13&lt;&gt;"",TODAY()-M13,"")</f>
        <v>6</v>
      </c>
      <c r="R13" s="162" t="str">
        <f>VLOOKUP(VLOOKUP(A13,DB_Locations!A:C,3,FALSE),DB_Appareils!A:F,6,FALSE)</f>
        <v xml:space="preserve">En location </v>
      </c>
      <c r="S13" s="162" t="str">
        <f>VLOOKUP(A13,DB_Locations!A:I,9,FALSE)</f>
        <v>Actif</v>
      </c>
      <c r="T13" s="162" t="s">
        <v>2346</v>
      </c>
      <c r="U13" s="162"/>
      <c r="V13" s="164" t="str">
        <f ca="1">IF(U13&lt;&gt;"",TODAY()-U13,"")</f>
        <v/>
      </c>
      <c r="W13" s="164" t="s">
        <v>2131</v>
      </c>
      <c r="Y13" s="143" t="s">
        <v>33</v>
      </c>
      <c r="Z13" s="144"/>
    </row>
    <row r="14" spans="1:26" x14ac:dyDescent="0.25">
      <c r="A14" s="162" t="s">
        <v>1232</v>
      </c>
      <c r="B14" s="162" t="str">
        <f>VLOOKUP(VLOOKUP(A14,DB_Locations!A:B,2,FALSE),DB_Patients!A:B,2,FALSE)</f>
        <v>JALLED SELMA</v>
      </c>
      <c r="C14" s="162" t="str">
        <f>VLOOKUP(VLOOKUP(A14,DB_Locations!A:B,2,FALSE),DB_Patients!A:H,8,FALSE)&amp;IF(VLOOKUP(VLOOKUP(A14,DB_Locations!A:B,2,FALSE),DB_Patients!A:I,9,FALSE)&lt;&gt;""," ("&amp;VLOOKUP(VLOOKUP(A14,DB_Locations!A:B,2,FALSE),DB_Patients!A:I,9,FALSE)&amp;")","")</f>
        <v>29721073 (96272805)</v>
      </c>
      <c r="D14" s="162" t="str">
        <f>VLOOKUP(VLOOKUP(A14,DB_Locations!A:B,2,FALSE),DB_Patients!A:J,10,FALSE)&amp;" ("&amp;VLOOKUP(VLOOKUP(A14,DB_Locations!A:B,2,FALSE),DB_Patients!A:K,11,FALSE)&amp;")"</f>
        <v xml:space="preserve"> (22 583  894)</v>
      </c>
      <c r="E14" s="162" t="str">
        <f>VLOOKUP(VLOOKUP(A14,DB_Locations!A:B,2,FALSE),DB_Patients!A:F,6,FALSE)</f>
        <v>SAYEDA</v>
      </c>
      <c r="F14" s="162" t="str">
        <f>VLOOKUP(VLOOKUP(A14,DB_Locations!A:B,2,FALSE),DB_Patients!A:M,13,FALSE)</f>
        <v>CNAM</v>
      </c>
      <c r="G14" s="162" t="str">
        <f>VLOOKUP(VLOOKUP(A14,DB_Locations!A:B,2,FALSE),DB_Patients!A:L,12,FALSE)</f>
        <v>JABEUR SAMEH /SAOUSSEN CHIKH</v>
      </c>
      <c r="H14" s="162" t="str">
        <f>VLOOKUP(A14,DB_Locations!A:F,6,FALSE)</f>
        <v>KARIM</v>
      </c>
      <c r="I14" s="162">
        <f>VLOOKUP(A14,DB_Locations!A:G,7,FALSE)</f>
        <v>0</v>
      </c>
      <c r="J14" s="162" t="str">
        <f>VLOOKUP(VLOOKUP(A14,DB_Locations!A:C,3,FALSE),DB_Appareils!A:B,2,FALSE)</f>
        <v>VNI</v>
      </c>
      <c r="K14" s="161">
        <f>VLOOKUP(A14,DB_Locations!A:D,4,FALSE)</f>
        <v>43677</v>
      </c>
      <c r="L14" s="161" cm="1">
        <f t="array" ref="L14">IF(COUNTIF(DB_Paiements!B:B,A14)=0,"",LOOKUP(2,1/(DB_Paiements!B:B=A14),DB_Paiements!D:D))</f>
        <v>45838</v>
      </c>
      <c r="M14" s="161" cm="1">
        <f t="array" ref="M14">IF(COUNTIF(DB_Paiements!B:B,A14)=0,"",LOOKUP(2,1/(DB_Paiements!B:B=A14),DB_Paiements!E:E))</f>
        <v>46020</v>
      </c>
      <c r="N14" s="162" t="str" cm="1">
        <f t="array" ref="N14">IF(COUNTIF(DB_Paiements!B:B,A14)=0,"",LOOKUP(2,1/(DB_Paiements!B:B=A14),DB_Paiements!G:G))</f>
        <v>CANM</v>
      </c>
      <c r="O14" s="162" cm="1">
        <f t="array" ref="O14">IF(COUNTIF(DB_Paiements!B:B,A14)=0,"",LOOKUP(2,1/(DB_Paiements!B:B=A14),DB_Paiements!F:F))</f>
        <v>2580</v>
      </c>
      <c r="P14" s="160">
        <v>46013</v>
      </c>
      <c r="Q14" s="162">
        <f ca="1">IF(M14&lt;&gt;"",TODAY()-M14,"")</f>
        <v>-125</v>
      </c>
      <c r="R14" s="162" t="str">
        <f>VLOOKUP(VLOOKUP(A14,DB_Locations!A:C,3,FALSE),DB_Appareils!A:F,6,FALSE)</f>
        <v xml:space="preserve">En location </v>
      </c>
      <c r="S14" s="162" t="str">
        <f>VLOOKUP(A14,DB_Locations!A:I,9,FALSE)</f>
        <v>Actif</v>
      </c>
      <c r="T14" s="162"/>
      <c r="U14" s="162"/>
      <c r="V14" s="162"/>
      <c r="W14" s="164" t="s">
        <v>984</v>
      </c>
      <c r="Y14" s="143" t="s">
        <v>34</v>
      </c>
      <c r="Z14" s="144"/>
    </row>
    <row r="15" spans="1:26" x14ac:dyDescent="0.25">
      <c r="A15" s="162" t="s">
        <v>1242</v>
      </c>
      <c r="B15" s="162" t="str">
        <f>VLOOKUP(VLOOKUP(A15,DB_Locations!A:B,2,FALSE),DB_Patients!A:B,2,FALSE)</f>
        <v>HOUCIN MONCEF</v>
      </c>
      <c r="C15" s="162" t="str">
        <f>VLOOKUP(VLOOKUP(A15,DB_Locations!A:B,2,FALSE),DB_Patients!A:H,8,FALSE)&amp;IF(VLOOKUP(VLOOKUP(A15,DB_Locations!A:B,2,FALSE),DB_Patients!A:I,9,FALSE)&lt;&gt;""," ("&amp;VLOOKUP(VLOOKUP(A15,DB_Locations!A:B,2,FALSE),DB_Patients!A:I,9,FALSE)&amp;")","")</f>
        <v>22273733//+393792061432 (SA FILLE)</v>
      </c>
      <c r="D15" s="162" t="str">
        <f>VLOOKUP(VLOOKUP(A15,DB_Locations!A:B,2,FALSE),DB_Patients!A:J,10,FALSE)&amp;" ("&amp;VLOOKUP(VLOOKUP(A15,DB_Locations!A:B,2,FALSE),DB_Patients!A:K,11,FALSE)&amp;")"</f>
        <v>96319584 (FILS)</v>
      </c>
      <c r="E15" s="162" t="str">
        <f>VLOOKUP(VLOOKUP(A15,DB_Locations!A:B,2,FALSE),DB_Patients!A:F,6,FALSE)</f>
        <v>HAMMEM SOUSSE</v>
      </c>
      <c r="F15" s="162" t="str">
        <f>VLOOKUP(VLOOKUP(A15,DB_Locations!A:B,2,FALSE),DB_Patients!A:M,13,FALSE)</f>
        <v>CNAM</v>
      </c>
      <c r="G15" s="162" t="str">
        <f>VLOOKUP(VLOOKUP(A15,DB_Locations!A:B,2,FALSE),DB_Patients!A:L,12,FALSE)</f>
        <v>ASMA KNAZ</v>
      </c>
      <c r="H15" s="162" t="str">
        <f>VLOOKUP(A15,DB_Locations!A:F,6,FALSE)</f>
        <v>KARIM</v>
      </c>
      <c r="I15" s="162">
        <f>VLOOKUP(A15,DB_Locations!A:G,7,FALSE)</f>
        <v>0</v>
      </c>
      <c r="J15" s="162" t="str">
        <f>VLOOKUP(VLOOKUP(A15,DB_Locations!A:C,3,FALSE),DB_Appareils!A:B,2,FALSE)</f>
        <v>CONCENTRATEUR O2</v>
      </c>
      <c r="K15" s="161">
        <f>VLOOKUP(A15,DB_Locations!A:D,4,FALSE)</f>
        <v>44211</v>
      </c>
      <c r="L15" s="161">
        <f>IF(COUNTIF(DB_Paiements!B:B,A15)=0,"",LOOKUP(2,1/(DB_Paiements!B:B=A15),DB_Paiements!D:D))</f>
        <v>45818</v>
      </c>
      <c r="M15" s="161">
        <f>IF(COUNTIF(DB_Paiements!B:B,A15)=0,"",LOOKUP(2,1/(DB_Paiements!B:B=A15),DB_Paiements!E:E))</f>
        <v>45909</v>
      </c>
      <c r="N15" s="162" t="str" cm="1">
        <f t="array" ref="N15">IF(COUNTIF(DB_Paiements!B:B,A15)=0,"",LOOKUP(2,1/(DB_Paiements!B:B=A15),DB_Paiements!G:G))</f>
        <v>CNAM</v>
      </c>
      <c r="O15" s="162" cm="1">
        <f t="array" ref="O15">IF(COUNTIF(DB_Paiements!B:B,A15)=0,"",LOOKUP(2,1/(DB_Paiements!B:B=A15),DB_Paiements!F:F))</f>
        <v>570</v>
      </c>
      <c r="P15" s="160">
        <v>45896</v>
      </c>
      <c r="Q15" s="162">
        <f ca="1">IF(M15&lt;&gt;"",TODAY()-M15,"")</f>
        <v>-14</v>
      </c>
      <c r="R15" s="162" t="str">
        <f>VLOOKUP(VLOOKUP(A15,DB_Locations!A:C,3,FALSE),DB_Appareils!A:F,6,FALSE)</f>
        <v xml:space="preserve">En location </v>
      </c>
      <c r="S15" s="162" t="str">
        <f>VLOOKUP(A15,DB_Locations!A:I,9,FALSE)</f>
        <v>Actif</v>
      </c>
      <c r="T15" s="162"/>
      <c r="U15" s="162"/>
      <c r="V15" s="162"/>
      <c r="W15" s="164" t="s">
        <v>2434</v>
      </c>
      <c r="Y15" s="143" t="s">
        <v>35</v>
      </c>
      <c r="Z15" s="144"/>
    </row>
    <row r="16" spans="1:26" x14ac:dyDescent="0.25">
      <c r="A16" s="162" t="s">
        <v>1245</v>
      </c>
      <c r="B16" s="162" t="str">
        <f>VLOOKUP(VLOOKUP(A16,DB_Locations!A:B,2,FALSE),DB_Patients!A:B,2,FALSE)</f>
        <v>HOUCIN MONCEF</v>
      </c>
      <c r="C16" s="162" t="str">
        <f>VLOOKUP(VLOOKUP(A16,DB_Locations!A:B,2,FALSE),DB_Patients!A:H,8,FALSE)&amp;IF(VLOOKUP(VLOOKUP(A16,DB_Locations!A:B,2,FALSE),DB_Patients!A:I,9,FALSE)&lt;&gt;""," ("&amp;VLOOKUP(VLOOKUP(A16,DB_Locations!A:B,2,FALSE),DB_Patients!A:I,9,FALSE)&amp;")","")</f>
        <v>22273733//+393792061432 (SA FILLE)</v>
      </c>
      <c r="D16" s="162" t="str">
        <f>VLOOKUP(VLOOKUP(A16,DB_Locations!A:B,2,FALSE),DB_Patients!A:J,10,FALSE)&amp;" ("&amp;VLOOKUP(VLOOKUP(A16,DB_Locations!A:B,2,FALSE),DB_Patients!A:K,11,FALSE)&amp;")"</f>
        <v>96319584 (FILS)</v>
      </c>
      <c r="E16" s="162" t="str">
        <f>VLOOKUP(VLOOKUP(A16,DB_Locations!A:B,2,FALSE),DB_Patients!A:F,6,FALSE)</f>
        <v>HAMMEM SOUSSE</v>
      </c>
      <c r="F16" s="162" t="str">
        <f>VLOOKUP(VLOOKUP(A16,DB_Locations!A:B,2,FALSE),DB_Patients!A:M,13,FALSE)</f>
        <v>CNAM</v>
      </c>
      <c r="G16" s="162" t="str">
        <f>VLOOKUP(VLOOKUP(A16,DB_Locations!A:B,2,FALSE),DB_Patients!A:L,12,FALSE)</f>
        <v>ASMA KNAZ</v>
      </c>
      <c r="H16" s="162" t="str">
        <f>VLOOKUP(A16,DB_Locations!A:F,6,FALSE)</f>
        <v>KARIM</v>
      </c>
      <c r="I16" s="162">
        <f>VLOOKUP(A16,DB_Locations!A:G,7,FALSE)</f>
        <v>0</v>
      </c>
      <c r="J16" s="162" t="str">
        <f>VLOOKUP(VLOOKUP(A16,DB_Locations!A:C,3,FALSE),DB_Appareils!A:B,2,FALSE)</f>
        <v>VNI</v>
      </c>
      <c r="K16" s="161">
        <f>VLOOKUP(A16,DB_Locations!A:D,4,FALSE)</f>
        <v>44209</v>
      </c>
      <c r="L16" s="161" cm="1">
        <f t="array" ref="L16">IF(COUNTIF(DB_Paiements!B:B,A16)=0,"",LOOKUP(2,1/(DB_Paiements!B:B=A16),DB_Paiements!D:D))</f>
        <v>45805</v>
      </c>
      <c r="M16" s="161" cm="1">
        <f t="array" ref="M16">IF(COUNTIF(DB_Paiements!B:B,A16)=0,"",LOOKUP(2,1/(DB_Paiements!B:B=A16),DB_Paiements!E:E))</f>
        <v>45896</v>
      </c>
      <c r="N16" s="162" t="str" cm="1">
        <f t="array" ref="N16">IF(COUNTIF(DB_Paiements!B:B,A16)=0,"",LOOKUP(2,1/(DB_Paiements!B:B=A16),DB_Paiements!G:G))</f>
        <v>CNAM</v>
      </c>
      <c r="O16" s="162" cm="1">
        <f t="array" ref="O16">IF(COUNTIF(DB_Paiements!B:B,A16)=0,"",LOOKUP(2,1/(DB_Paiements!B:B=A16),DB_Paiements!F:F))</f>
        <v>1290</v>
      </c>
      <c r="P16" s="160" t="s">
        <v>2433</v>
      </c>
      <c r="Q16" s="162">
        <f ca="1">IF(M16&lt;&gt;"",TODAY()-M16,"")</f>
        <v>-1</v>
      </c>
      <c r="R16" s="162" t="str">
        <f>VLOOKUP(VLOOKUP(A16,DB_Locations!A:C,3,FALSE),DB_Appareils!A:F,6,FALSE)</f>
        <v xml:space="preserve">En location </v>
      </c>
      <c r="S16" s="162" t="str">
        <f>VLOOKUP(A16,DB_Locations!A:I,9,FALSE)</f>
        <v>Actif</v>
      </c>
      <c r="T16" s="162"/>
      <c r="U16" s="162"/>
      <c r="V16" s="162"/>
      <c r="W16" s="164" t="s">
        <v>2434</v>
      </c>
      <c r="Y16" s="143" t="s">
        <v>36</v>
      </c>
      <c r="Z16" s="144"/>
    </row>
    <row r="17" spans="1:26" x14ac:dyDescent="0.25">
      <c r="A17" s="162" t="s">
        <v>1493</v>
      </c>
      <c r="B17" s="162" t="str">
        <f>VLOOKUP(VLOOKUP(A17,DB_Locations!A:B,2,FALSE),DB_Patients!A:B,2,FALSE)</f>
        <v>SAID ZAINEB VVE AMOR</v>
      </c>
      <c r="C17" s="162" t="str">
        <f>VLOOKUP(VLOOKUP(A17,DB_Locations!A:B,2,FALSE),DB_Patients!A:H,8,FALSE)&amp;IF(VLOOKUP(VLOOKUP(A17,DB_Locations!A:B,2,FALSE),DB_Patients!A:I,9,FALSE)&lt;&gt;""," ("&amp;VLOOKUP(VLOOKUP(A17,DB_Locations!A:B,2,FALSE),DB_Patients!A:I,9,FALSE)&amp;")","")</f>
        <v>52140388</v>
      </c>
      <c r="D17" s="162" t="str">
        <f>VLOOKUP(VLOOKUP(A17,DB_Locations!A:B,2,FALSE),DB_Patients!A:J,10,FALSE)&amp;" ("&amp;VLOOKUP(VLOOKUP(A17,DB_Locations!A:B,2,FALSE),DB_Patients!A:K,11,FALSE)&amp;")"</f>
        <v>51705909 (AIDA)</v>
      </c>
      <c r="E17" s="162" t="str">
        <f>VLOOKUP(VLOOKUP(A17,DB_Locations!A:B,2,FALSE),DB_Patients!A:F,6,FALSE)</f>
        <v>HAMMEM SOUSSE</v>
      </c>
      <c r="F17" s="162" t="str">
        <f>VLOOKUP(VLOOKUP(A17,DB_Locations!A:B,2,FALSE),DB_Patients!A:M,13,FALSE)</f>
        <v>CNAM</v>
      </c>
      <c r="G17" s="162" t="str">
        <f>VLOOKUP(VLOOKUP(A17,DB_Locations!A:B,2,FALSE),DB_Patients!A:L,12,FALSE)</f>
        <v>GARGOURI IMEN</v>
      </c>
      <c r="H17" s="162" t="str">
        <f>VLOOKUP(A17,DB_Locations!A:F,6,FALSE)</f>
        <v>BILEL BOUHLEL</v>
      </c>
      <c r="I17" s="162">
        <f>VLOOKUP(A17,DB_Locations!A:G,7,FALSE)</f>
        <v>0</v>
      </c>
      <c r="J17" s="162" t="str">
        <f>VLOOKUP(VLOOKUP(A17,DB_Locations!A:C,3,FALSE),DB_Appareils!A:B,2,FALSE)</f>
        <v>VNI</v>
      </c>
      <c r="K17" s="161">
        <f>VLOOKUP(A17,DB_Locations!A:D,4,FALSE)</f>
        <v>44995</v>
      </c>
      <c r="L17" s="161" cm="1">
        <f t="array" ref="L17">IF(COUNTIF(DB_Paiements!B:B,A17)=0,"",LOOKUP(2,1/(DB_Paiements!B:B=A17),DB_Paiements!D:D))</f>
        <v>45631</v>
      </c>
      <c r="M17" s="161" cm="1">
        <f t="array" ref="M17">IF(COUNTIF(DB_Paiements!B:B,A17)=0,"",LOOKUP(2,1/(DB_Paiements!B:B=A17),DB_Paiements!E:E))</f>
        <v>45812</v>
      </c>
      <c r="N17" s="162" t="str" cm="1">
        <f t="array" ref="N17">IF(COUNTIF(DB_Paiements!B:B,A17)=0,"",LOOKUP(2,1/(DB_Paiements!B:B=A17),DB_Paiements!G:G))</f>
        <v>CNAM</v>
      </c>
      <c r="O17" s="162" cm="1">
        <f t="array" ref="O17">IF(COUNTIF(DB_Paiements!B:B,A17)=0,"",LOOKUP(2,1/(DB_Paiements!B:B=A17),DB_Paiements!F:F))</f>
        <v>2580</v>
      </c>
      <c r="P17" s="160">
        <v>45910</v>
      </c>
      <c r="Q17" s="162">
        <f ca="1">IF(M17&lt;&gt;"",TODAY()-M17,"")</f>
        <v>83</v>
      </c>
      <c r="R17" s="162" t="str">
        <f>VLOOKUP(VLOOKUP(A17,DB_Locations!A:C,3,FALSE),DB_Appareils!A:F,6,FALSE)</f>
        <v>En location</v>
      </c>
      <c r="S17" s="162" t="str">
        <f>VLOOKUP(A17,DB_Locations!A:I,9,FALSE)</f>
        <v>ACTIF</v>
      </c>
      <c r="T17" s="162" t="s">
        <v>2329</v>
      </c>
      <c r="U17" s="163">
        <v>45880</v>
      </c>
      <c r="V17" s="164">
        <f ca="1">IF(U17&lt;&gt;"",TODAY()-U17,"")</f>
        <v>15</v>
      </c>
      <c r="W17" s="164" t="s">
        <v>2397</v>
      </c>
      <c r="Y17" s="143"/>
      <c r="Z17" s="144"/>
    </row>
    <row r="18" spans="1:26" x14ac:dyDescent="0.25">
      <c r="A18" s="162" t="s">
        <v>1501</v>
      </c>
      <c r="B18" s="162" t="str">
        <f>VLOOKUP(VLOOKUP(A18,DB_Locations!A:B,2,FALSE),DB_Patients!A:B,2,FALSE)</f>
        <v>OUESLATI NOUREDDINE</v>
      </c>
      <c r="C18" s="162" t="str">
        <f>VLOOKUP(VLOOKUP(A18,DB_Locations!A:B,2,FALSE),DB_Patients!A:H,8,FALSE)&amp;IF(VLOOKUP(VLOOKUP(A18,DB_Locations!A:B,2,FALSE),DB_Patients!A:I,9,FALSE)&lt;&gt;""," ("&amp;VLOOKUP(VLOOKUP(A18,DB_Locations!A:B,2,FALSE),DB_Patients!A:I,9,FALSE)&amp;")","")</f>
        <v>26859597</v>
      </c>
      <c r="D18" s="162" t="str">
        <f>VLOOKUP(VLOOKUP(A18,DB_Locations!A:B,2,FALSE),DB_Patients!A:J,10,FALSE)&amp;" ("&amp;VLOOKUP(VLOOKUP(A18,DB_Locations!A:B,2,FALSE),DB_Patients!A:K,11,FALSE)&amp;")"</f>
        <v>99662114 ()</v>
      </c>
      <c r="E18" s="162" t="str">
        <f>VLOOKUP(VLOOKUP(A18,DB_Locations!A:B,2,FALSE),DB_Patients!A:F,6,FALSE)</f>
        <v>KALAA SGHIRA</v>
      </c>
      <c r="F18" s="162" t="str">
        <f>VLOOKUP(VLOOKUP(A18,DB_Locations!A:B,2,FALSE),DB_Patients!A:M,13,FALSE)</f>
        <v>CNAM</v>
      </c>
      <c r="G18" s="162" t="str">
        <f>VLOOKUP(VLOOKUP(A18,DB_Locations!A:B,2,FALSE),DB_Patients!A:L,12,FALSE)</f>
        <v>GARGOURI IMEN</v>
      </c>
      <c r="H18" s="162" t="str">
        <f>VLOOKUP(A18,DB_Locations!A:F,6,FALSE)</f>
        <v>BILEL BOUHLEL</v>
      </c>
      <c r="I18" s="162">
        <f>VLOOKUP(A18,DB_Locations!A:G,7,FALSE)</f>
        <v>0</v>
      </c>
      <c r="J18" s="162" t="str">
        <f>VLOOKUP(VLOOKUP(A18,DB_Locations!A:C,3,FALSE),DB_Appareils!A:B,2,FALSE)</f>
        <v>VNI</v>
      </c>
      <c r="K18" s="161">
        <f>VLOOKUP(A18,DB_Locations!A:D,4,FALSE)</f>
        <v>45435</v>
      </c>
      <c r="L18" s="161" cm="1">
        <f t="array" ref="L18">IF(COUNTIF(DB_Paiements!B:B,A18)=0,"",LOOKUP(2,1/(DB_Paiements!B:B=A18),DB_Paiements!D:D))</f>
        <v>45679</v>
      </c>
      <c r="M18" s="161" cm="1">
        <f t="array" ref="M18">IF(COUNTIF(DB_Paiements!B:B,A18)=0,"",LOOKUP(2,1/(DB_Paiements!B:B=A18),DB_Paiements!E:E))</f>
        <v>45859</v>
      </c>
      <c r="N18" s="162" t="str" cm="1">
        <f t="array" ref="N18">IF(COUNTIF(DB_Paiements!B:B,A18)=0,"",LOOKUP(2,1/(DB_Paiements!B:B=A18),DB_Paiements!G:G))</f>
        <v>CNAM</v>
      </c>
      <c r="O18" s="162" cm="1">
        <f t="array" ref="O18">IF(COUNTIF(DB_Paiements!B:B,A18)=0,"",LOOKUP(2,1/(DB_Paiements!B:B=A18),DB_Paiements!F:F))</f>
        <v>2580</v>
      </c>
      <c r="P18" s="160"/>
      <c r="Q18" s="162">
        <f ca="1">IF(M18&lt;&gt;"",TODAY()-M18,"")</f>
        <v>36</v>
      </c>
      <c r="R18" s="162" t="str">
        <f>VLOOKUP(VLOOKUP(A18,DB_Locations!A:C,3,FALSE),DB_Appareils!A:F,6,FALSE)</f>
        <v>En location</v>
      </c>
      <c r="S18" s="162" t="str">
        <f>VLOOKUP(A18,DB_Locations!A:I,9,FALSE)</f>
        <v>ACTIF</v>
      </c>
      <c r="T18" s="162"/>
      <c r="U18" s="162"/>
      <c r="V18" s="164" t="str">
        <f ca="1">IF(U18&lt;&gt;"",TODAY()-U18,"")</f>
        <v/>
      </c>
      <c r="W18" s="164"/>
      <c r="Y18" s="143" t="s">
        <v>37</v>
      </c>
      <c r="Z18" s="144"/>
    </row>
    <row r="19" spans="1:26" x14ac:dyDescent="0.25">
      <c r="A19" s="162" t="s">
        <v>1285</v>
      </c>
      <c r="B19" s="162" t="str">
        <f>VLOOKUP(VLOOKUP(A19,DB_Locations!A:B,2,FALSE),DB_Patients!A:B,2,FALSE)</f>
        <v>ZERGUIN FATHI</v>
      </c>
      <c r="C19" s="162" t="str">
        <f>VLOOKUP(VLOOKUP(A19,DB_Locations!A:B,2,FALSE),DB_Patients!A:H,8,FALSE)&amp;IF(VLOOKUP(VLOOKUP(A19,DB_Locations!A:B,2,FALSE),DB_Patients!A:I,9,FALSE)&lt;&gt;""," ("&amp;VLOOKUP(VLOOKUP(A19,DB_Locations!A:B,2,FALSE),DB_Patients!A:I,9,FALSE)&amp;")","")</f>
        <v>95102843 (FATHI )</v>
      </c>
      <c r="D19" s="162" t="str">
        <f>VLOOKUP(VLOOKUP(A19,DB_Locations!A:B,2,FALSE),DB_Patients!A:J,10,FALSE)&amp;" ("&amp;VLOOKUP(VLOOKUP(A19,DB_Locations!A:B,2,FALSE),DB_Patients!A:K,11,FALSE)&amp;")"</f>
        <v xml:space="preserve"> ()</v>
      </c>
      <c r="E19" s="162" t="str">
        <f>VLOOKUP(VLOOKUP(A19,DB_Locations!A:B,2,FALSE),DB_Patients!A:F,6,FALSE)</f>
        <v>SIDI ABDELHAMID</v>
      </c>
      <c r="F19" s="162" t="str">
        <f>VLOOKUP(VLOOKUP(A19,DB_Locations!A:B,2,FALSE),DB_Patients!A:M,13,FALSE)</f>
        <v>CNAM</v>
      </c>
      <c r="G19" s="162" t="str">
        <f>VLOOKUP(VLOOKUP(A19,DB_Locations!A:B,2,FALSE),DB_Patients!A:L,12,FALSE)</f>
        <v>SALSABIL BOUAFIA</v>
      </c>
      <c r="H19" s="162" t="str">
        <f>VLOOKUP(A19,DB_Locations!A:F,6,FALSE)</f>
        <v>KARIM</v>
      </c>
      <c r="I19" s="162">
        <f>VLOOKUP(A19,DB_Locations!A:G,7,FALSE)</f>
        <v>0</v>
      </c>
      <c r="J19" s="162" t="str">
        <f>VLOOKUP(VLOOKUP(A19,DB_Locations!A:C,3,FALSE),DB_Appareils!A:B,2,FALSE)</f>
        <v>CONCENTRATEUR O2</v>
      </c>
      <c r="K19" s="161">
        <f>VLOOKUP(A19,DB_Locations!A:D,4,FALSE)</f>
        <v>44469</v>
      </c>
      <c r="L19" s="161" cm="1">
        <f t="array" ref="L19">IF(COUNTIF(DB_Paiements!B:B,A19)=0,"",LOOKUP(2,1/(DB_Paiements!B:B=A19),DB_Paiements!D:D))</f>
        <v>45806</v>
      </c>
      <c r="M19" s="161" cm="1">
        <f t="array" ref="M19">IF(COUNTIF(DB_Paiements!B:B,A19)=0,"",LOOKUP(2,1/(DB_Paiements!B:B=A19),DB_Paiements!E:E))</f>
        <v>45897</v>
      </c>
      <c r="N19" s="162" t="s">
        <v>2432</v>
      </c>
      <c r="O19" s="162" cm="1">
        <f t="array" ref="O19">IF(COUNTIF(DB_Paiements!B:B,A19)=0,"",LOOKUP(2,1/(DB_Paiements!B:B=A19),DB_Paiements!F:F))</f>
        <v>570</v>
      </c>
      <c r="P19" s="160">
        <v>45898</v>
      </c>
      <c r="Q19" s="162">
        <f ca="1">IF(M19&lt;&gt;"",TODAY()-M19,"")</f>
        <v>-2</v>
      </c>
      <c r="R19" s="162" t="str">
        <f>VLOOKUP(VLOOKUP(A19,DB_Locations!A:C,3,FALSE),DB_Appareils!A:F,6,FALSE)</f>
        <v xml:space="preserve">En location </v>
      </c>
      <c r="S19" s="162" t="str">
        <f>VLOOKUP(A19,DB_Locations!A:I,9,FALSE)</f>
        <v>Actif</v>
      </c>
      <c r="T19" s="162"/>
      <c r="U19" s="162"/>
      <c r="V19" s="164" t="str">
        <f ca="1">IF(U19&lt;&gt;"",TODAY()-U19,"")</f>
        <v/>
      </c>
      <c r="W19" s="164" t="s">
        <v>2436</v>
      </c>
      <c r="Y19" s="143" t="s">
        <v>38</v>
      </c>
      <c r="Z19" s="144"/>
    </row>
    <row r="20" spans="1:26" x14ac:dyDescent="0.25">
      <c r="A20" s="162" t="s">
        <v>1286</v>
      </c>
      <c r="B20" s="162" t="str">
        <f>VLOOKUP(VLOOKUP(A20,DB_Locations!A:B,2,FALSE),DB_Patients!A:B,2,FALSE)</f>
        <v>ZERGUIN FATHI</v>
      </c>
      <c r="C20" s="162" t="str">
        <f>VLOOKUP(VLOOKUP(A20,DB_Locations!A:B,2,FALSE),DB_Patients!A:H,8,FALSE)&amp;IF(VLOOKUP(VLOOKUP(A20,DB_Locations!A:B,2,FALSE),DB_Patients!A:I,9,FALSE)&lt;&gt;""," ("&amp;VLOOKUP(VLOOKUP(A20,DB_Locations!A:B,2,FALSE),DB_Patients!A:I,9,FALSE)&amp;")","")</f>
        <v>95102843 (FATHI )</v>
      </c>
      <c r="D20" s="162" t="str">
        <f>VLOOKUP(VLOOKUP(A20,DB_Locations!A:B,2,FALSE),DB_Patients!A:J,10,FALSE)&amp;" ("&amp;VLOOKUP(VLOOKUP(A20,DB_Locations!A:B,2,FALSE),DB_Patients!A:K,11,FALSE)&amp;")"</f>
        <v xml:space="preserve"> ()</v>
      </c>
      <c r="E20" s="162" t="str">
        <f>VLOOKUP(VLOOKUP(A20,DB_Locations!A:B,2,FALSE),DB_Patients!A:F,6,FALSE)</f>
        <v>SIDI ABDELHAMID</v>
      </c>
      <c r="F20" s="162" t="str">
        <f>VLOOKUP(VLOOKUP(A20,DB_Locations!A:B,2,FALSE),DB_Patients!A:M,13,FALSE)</f>
        <v>CNAM</v>
      </c>
      <c r="G20" s="162" t="str">
        <f>VLOOKUP(VLOOKUP(A20,DB_Locations!A:B,2,FALSE),DB_Patients!A:L,12,FALSE)</f>
        <v>SALSABIL BOUAFIA</v>
      </c>
      <c r="H20" s="162" t="str">
        <f>VLOOKUP(A20,DB_Locations!A:F,6,FALSE)</f>
        <v>KARIM</v>
      </c>
      <c r="I20" s="162">
        <f>VLOOKUP(A20,DB_Locations!A:G,7,FALSE)</f>
        <v>0</v>
      </c>
      <c r="J20" s="162" t="str">
        <f>VLOOKUP(VLOOKUP(A20,DB_Locations!A:C,3,FALSE),DB_Appareils!A:B,2,FALSE)</f>
        <v>VNI</v>
      </c>
      <c r="K20" s="161">
        <f>VLOOKUP(A20,DB_Locations!A:D,4,FALSE)</f>
        <v>43874</v>
      </c>
      <c r="L20" s="161" cm="1">
        <f t="array" ref="L20">IF(COUNTIF(DB_Paiements!B:B,A20)=0,"",LOOKUP(2,1/(DB_Paiements!B:B=A20),DB_Paiements!D:D))</f>
        <v>45789</v>
      </c>
      <c r="M20" s="161" cm="1">
        <f t="array" ref="M20">IF(COUNTIF(DB_Paiements!B:B,A20)=0,"",LOOKUP(2,1/(DB_Paiements!B:B=A20),DB_Paiements!E:E))</f>
        <v>45972</v>
      </c>
      <c r="N20" s="162" t="str" cm="1">
        <f t="array" ref="N20">IF(COUNTIF(DB_Paiements!B:B,A20)=0,"",LOOKUP(2,1/(DB_Paiements!B:B=A20),DB_Paiements!G:G))</f>
        <v>CNAM</v>
      </c>
      <c r="O20" s="162" cm="1">
        <f t="array" ref="O20">IF(COUNTIF(DB_Paiements!B:B,A20)=0,"",LOOKUP(2,1/(DB_Paiements!B:B=A20),DB_Paiements!F:F))</f>
        <v>2580</v>
      </c>
      <c r="P20" s="160">
        <v>45964</v>
      </c>
      <c r="Q20" s="162">
        <f ca="1">IF(M20&lt;&gt;"",TODAY()-M20,"")</f>
        <v>-77</v>
      </c>
      <c r="R20" s="162" t="str">
        <f>VLOOKUP(VLOOKUP(A20,DB_Locations!A:C,3,FALSE),DB_Appareils!A:F,6,FALSE)</f>
        <v xml:space="preserve">En location </v>
      </c>
      <c r="S20" s="162" t="str">
        <f>VLOOKUP(A20,DB_Locations!A:I,9,FALSE)</f>
        <v>Actif</v>
      </c>
      <c r="T20" s="162"/>
      <c r="U20" s="162"/>
      <c r="V20" s="162"/>
      <c r="W20" s="164" t="s">
        <v>984</v>
      </c>
      <c r="Y20" s="143" t="s">
        <v>39</v>
      </c>
      <c r="Z20" s="144"/>
    </row>
    <row r="21" spans="1:26" x14ac:dyDescent="0.25">
      <c r="A21" s="162" t="s">
        <v>1518</v>
      </c>
      <c r="B21" s="162" t="str">
        <f>VLOOKUP(VLOOKUP(A21,DB_Locations!A:B,2,FALSE),DB_Patients!A:B,2,FALSE)</f>
        <v>MOULDI GHARSSA</v>
      </c>
      <c r="C21" s="162" t="str">
        <f>VLOOKUP(VLOOKUP(A21,DB_Locations!A:B,2,FALSE),DB_Patients!A:H,8,FALSE)&amp;IF(VLOOKUP(VLOOKUP(A21,DB_Locations!A:B,2,FALSE),DB_Patients!A:I,9,FALSE)&lt;&gt;""," ("&amp;VLOOKUP(VLOOKUP(A21,DB_Locations!A:B,2,FALSE),DB_Patients!A:I,9,FALSE)&amp;")","")</f>
        <v>98622453 (FILS)</v>
      </c>
      <c r="D21" s="162" t="str">
        <f>VLOOKUP(VLOOKUP(A21,DB_Locations!A:B,2,FALSE),DB_Patients!A:J,10,FALSE)&amp;" ("&amp;VLOOKUP(VLOOKUP(A21,DB_Locations!A:B,2,FALSE),DB_Patients!A:K,11,FALSE)&amp;")"</f>
        <v>21881061 (FILS)</v>
      </c>
      <c r="E21" s="162" t="str">
        <f>VLOOKUP(VLOOKUP(A21,DB_Locations!A:B,2,FALSE),DB_Patients!A:F,6,FALSE)</f>
        <v>ENFIDHA</v>
      </c>
      <c r="F21" s="162" t="str">
        <f>VLOOKUP(VLOOKUP(A21,DB_Locations!A:B,2,FALSE),DB_Patients!A:M,13,FALSE)</f>
        <v>CNAM</v>
      </c>
      <c r="G21" s="162" t="str">
        <f>VLOOKUP(VLOOKUP(A21,DB_Locations!A:B,2,FALSE),DB_Patients!A:L,12,FALSE)</f>
        <v>GARGOURI IMEN</v>
      </c>
      <c r="H21" s="162" t="str">
        <f>VLOOKUP(A21,DB_Locations!A:F,6,FALSE)</f>
        <v>KARIM</v>
      </c>
      <c r="I21" s="162">
        <f>VLOOKUP(A21,DB_Locations!A:G,7,FALSE)</f>
        <v>0</v>
      </c>
      <c r="J21" s="162" t="str">
        <f>VLOOKUP(VLOOKUP(A21,DB_Locations!A:C,3,FALSE),DB_Appareils!A:B,2,FALSE)</f>
        <v>VNI</v>
      </c>
      <c r="K21" s="161">
        <f>VLOOKUP(A21,DB_Locations!A:D,4,FALSE)</f>
        <v>45777</v>
      </c>
      <c r="L21" s="161" cm="1">
        <f t="array" aca="1" ref="L21" ca="1">IF(COUNTIF(DB_Paiements!B:B,A21)=0,"",LOOKUP(2,1/(DB_Paiements!B:B=A21),DB_Paiements!D:D))</f>
        <v>45895</v>
      </c>
      <c r="M21" s="161" cm="1">
        <f t="array" ref="M21">IF(COUNTIF(DB_Paiements!B:B,A21)=0,"",LOOKUP(2,1/(DB_Paiements!B:B=A21),DB_Paiements!E:E))</f>
        <v>45777</v>
      </c>
      <c r="N21" s="162" t="str" cm="1">
        <f t="array" ref="N21">IF(COUNTIF(DB_Paiements!B:B,A21)=0,"",LOOKUP(2,1/(DB_Paiements!B:B=A21),DB_Paiements!G:G))</f>
        <v>CNAM</v>
      </c>
      <c r="O21" s="162">
        <f ca="1">IF(COUNTIF(DB_Paiements!B:B,A21)=0,"",LOOKUP(2,1/(DB_Paiements!B:B=A21),DB_Paiements!F:F))</f>
        <v>-1720</v>
      </c>
      <c r="P21" s="160">
        <v>45896</v>
      </c>
      <c r="Q21" s="162">
        <f ca="1">IF(M21&lt;&gt;"",TODAY()-M21,"")</f>
        <v>118</v>
      </c>
      <c r="R21" s="162" t="str">
        <f>VLOOKUP(VLOOKUP(A21,DB_Locations!A:C,3,FALSE),DB_Appareils!A:F,6,FALSE)</f>
        <v>En location</v>
      </c>
      <c r="S21" s="162" t="str">
        <f>VLOOKUP(A21,DB_Locations!A:I,9,FALSE)</f>
        <v>ACTIF</v>
      </c>
      <c r="T21" s="162"/>
      <c r="U21" s="162"/>
      <c r="V21" s="164" t="str">
        <f ca="1">IF(U21&lt;&gt;"",TODAY()-U21,"")</f>
        <v/>
      </c>
      <c r="W21" s="164" t="s">
        <v>2500</v>
      </c>
      <c r="Y21" s="143" t="s">
        <v>40</v>
      </c>
      <c r="Z21" s="144"/>
    </row>
    <row r="22" spans="1:26" x14ac:dyDescent="0.25">
      <c r="A22" s="162" t="s">
        <v>1481</v>
      </c>
      <c r="B22" s="162" t="str">
        <f>VLOOKUP(VLOOKUP(A22,DB_Locations!A:B,2,FALSE),DB_Patients!A:B,2,FALSE)</f>
        <v>MONJI JERFEL</v>
      </c>
      <c r="C22" s="162" t="str">
        <f>VLOOKUP(VLOOKUP(A22,DB_Locations!A:B,2,FALSE),DB_Patients!A:H,8,FALSE)&amp;IF(VLOOKUP(VLOOKUP(A22,DB_Locations!A:B,2,FALSE),DB_Patients!A:I,9,FALSE)&lt;&gt;""," ("&amp;VLOOKUP(VLOOKUP(A22,DB_Locations!A:B,2,FALSE),DB_Patients!A:I,9,FALSE)&amp;")","")</f>
        <v>21319997</v>
      </c>
      <c r="D22" s="162" t="str">
        <f>VLOOKUP(VLOOKUP(A22,DB_Locations!A:B,2,FALSE),DB_Patients!A:J,10,FALSE)&amp;" ("&amp;VLOOKUP(VLOOKUP(A22,DB_Locations!A:B,2,FALSE),DB_Patients!A:K,11,FALSE)&amp;")"</f>
        <v>73213196 ()</v>
      </c>
      <c r="E22" s="162" t="str">
        <f>VLOOKUP(VLOOKUP(A22,DB_Locations!A:B,2,FALSE),DB_Patients!A:F,6,FALSE)</f>
        <v>SOUSSE</v>
      </c>
      <c r="F22" s="162" t="str">
        <f>VLOOKUP(VLOOKUP(A22,DB_Locations!A:B,2,FALSE),DB_Patients!A:M,13,FALSE)</f>
        <v>CNAM</v>
      </c>
      <c r="G22" s="162" t="str">
        <f>VLOOKUP(VLOOKUP(A22,DB_Locations!A:B,2,FALSE),DB_Patients!A:L,12,FALSE)</f>
        <v>GARGOURI IMEN</v>
      </c>
      <c r="H22" s="162" t="str">
        <f>VLOOKUP(A22,DB_Locations!A:F,6,FALSE)</f>
        <v>KARIM</v>
      </c>
      <c r="I22" s="162">
        <f>VLOOKUP(A22,DB_Locations!A:G,7,FALSE)</f>
        <v>0</v>
      </c>
      <c r="J22" s="162" t="str">
        <f>VLOOKUP(VLOOKUP(A22,DB_Locations!A:C,3,FALSE),DB_Appareils!A:B,2,FALSE)</f>
        <v>VNI</v>
      </c>
      <c r="K22" s="161">
        <f>VLOOKUP(A22,DB_Locations!A:D,4,FALSE)</f>
        <v>43530</v>
      </c>
      <c r="L22" s="161" cm="1">
        <f t="array" ref="L22">IF(COUNTIF(DB_Paiements!B:B,A22)=0,"",LOOKUP(2,1/(DB_Paiements!B:B=A22),DB_Paiements!D:D))</f>
        <v>45800</v>
      </c>
      <c r="M22" s="161" cm="1">
        <f t="array" ref="M22">IF(COUNTIF(DB_Paiements!B:B,A22)=0,"",LOOKUP(2,1/(DB_Paiements!B:B=A22),DB_Paiements!E:E))</f>
        <v>45983</v>
      </c>
      <c r="N22" s="162" t="str" cm="1">
        <f t="array" ref="N22">IF(COUNTIF(DB_Paiements!B:B,A22)=0,"",LOOKUP(2,1/(DB_Paiements!B:B=A22),DB_Paiements!G:G))</f>
        <v>CNAM</v>
      </c>
      <c r="O22" s="162" cm="1">
        <f t="array" ref="O22">IF(COUNTIF(DB_Paiements!B:B,A22)=0,"",LOOKUP(2,1/(DB_Paiements!B:B=A22),DB_Paiements!F:F))</f>
        <v>2580</v>
      </c>
      <c r="P22" s="160"/>
      <c r="Q22" s="162">
        <f ca="1">IF(M22&lt;&gt;"",TODAY()-M22,"")</f>
        <v>-88</v>
      </c>
      <c r="R22" s="162" t="str">
        <f>VLOOKUP(VLOOKUP(A22,DB_Locations!A:C,3,FALSE),DB_Appareils!A:F,6,FALSE)</f>
        <v>En location</v>
      </c>
      <c r="S22" s="162" t="str">
        <f>VLOOKUP(A22,DB_Locations!A:I,9,FALSE)</f>
        <v>ACTIF</v>
      </c>
      <c r="T22" s="162"/>
      <c r="U22" s="162"/>
      <c r="V22" s="162"/>
      <c r="W22" s="164"/>
      <c r="Y22" s="143"/>
      <c r="Z22" s="144"/>
    </row>
    <row r="23" spans="1:26" x14ac:dyDescent="0.25">
      <c r="A23" s="162" t="s">
        <v>1297</v>
      </c>
      <c r="B23" s="162" t="str">
        <f>VLOOKUP(VLOOKUP(A23,DB_Locations!A:B,2,FALSE),DB_Patients!A:B,2,FALSE)</f>
        <v>BARGUI SALEM</v>
      </c>
      <c r="C23" s="162" t="str">
        <f>VLOOKUP(VLOOKUP(A23,DB_Locations!A:B,2,FALSE),DB_Patients!A:H,8,FALSE)&amp;IF(VLOOKUP(VLOOKUP(A23,DB_Locations!A:B,2,FALSE),DB_Patients!A:I,9,FALSE)&lt;&gt;""," ("&amp;VLOOKUP(VLOOKUP(A23,DB_Locations!A:B,2,FALSE),DB_Patients!A:I,9,FALSE)&amp;")","")</f>
        <v>27818495</v>
      </c>
      <c r="D23" s="162" t="str">
        <f>VLOOKUP(VLOOKUP(A23,DB_Locations!A:B,2,FALSE),DB_Patients!A:J,10,FALSE)&amp;" ("&amp;VLOOKUP(VLOOKUP(A23,DB_Locations!A:B,2,FALSE),DB_Patients!A:K,11,FALSE)&amp;")"</f>
        <v xml:space="preserve"> ()</v>
      </c>
      <c r="E23" s="162" t="str">
        <f>VLOOKUP(VLOOKUP(A23,DB_Locations!A:B,2,FALSE),DB_Patients!A:F,6,FALSE)</f>
        <v>NABEUL</v>
      </c>
      <c r="F23" s="162" t="str">
        <f>VLOOKUP(VLOOKUP(A23,DB_Locations!A:B,2,FALSE),DB_Patients!A:M,13,FALSE)</f>
        <v>CNAM</v>
      </c>
      <c r="G23" s="162" t="str">
        <f>VLOOKUP(VLOOKUP(A23,DB_Locations!A:B,2,FALSE),DB_Patients!A:L,12,FALSE)</f>
        <v>SOPHIA BOUSNINA FEKIH</v>
      </c>
      <c r="H23" s="162" t="str">
        <f>VLOOKUP(A23,DB_Locations!A:F,6,FALSE)</f>
        <v>BILEL BOUHLEL</v>
      </c>
      <c r="I23" s="162">
        <f>VLOOKUP(A23,DB_Locations!A:G,7,FALSE)</f>
        <v>0</v>
      </c>
      <c r="J23" s="162" t="str">
        <f>VLOOKUP(VLOOKUP(A23,DB_Locations!A:C,3,FALSE),DB_Appareils!A:B,2,FALSE)</f>
        <v>CONCENTRATEUR O2</v>
      </c>
      <c r="K23" s="161">
        <f>VLOOKUP(A23,DB_Locations!A:D,4,FALSE)</f>
        <v>44727</v>
      </c>
      <c r="L23" s="161" cm="1">
        <f t="array" ref="L23">IF(COUNTIF(DB_Paiements!B:B,A23)=0,"",LOOKUP(2,1/(DB_Paiements!B:B=A23),DB_Paiements!D:D))</f>
        <v>45728</v>
      </c>
      <c r="M23" s="161">
        <f>IF(COUNTIF(DB_Paiements!B:B,A23)=0,"",LOOKUP(2,1/(DB_Paiements!B:B=A23),DB_Paiements!E:E))</f>
        <v>45819</v>
      </c>
      <c r="N23" s="162" t="str" cm="1">
        <f t="array" ref="N23">IF(COUNTIF(DB_Paiements!B:B,A23)=0,"",LOOKUP(2,1/(DB_Paiements!B:B=A23),DB_Paiements!G:G))</f>
        <v>CNAM</v>
      </c>
      <c r="O23" s="162" cm="1">
        <f t="array" ref="O23">IF(COUNTIF(DB_Paiements!B:B,A23)=0,"",LOOKUP(2,1/(DB_Paiements!B:B=A23),DB_Paiements!F:F))</f>
        <v>570</v>
      </c>
      <c r="P23" s="160">
        <v>45910</v>
      </c>
      <c r="Q23" s="162">
        <f ca="1">IF(M23&lt;&gt;"",TODAY()-M23,"")</f>
        <v>76</v>
      </c>
      <c r="R23" s="162" t="str">
        <f>VLOOKUP(VLOOKUP(A23,DB_Locations!A:C,3,FALSE),DB_Appareils!A:F,6,FALSE)</f>
        <v xml:space="preserve">En location </v>
      </c>
      <c r="S23" s="162" t="str">
        <f>VLOOKUP(A23,DB_Locations!A:I,9,FALSE)</f>
        <v>Actif</v>
      </c>
      <c r="T23" s="162"/>
      <c r="U23" s="162"/>
      <c r="V23" s="164" t="str">
        <f ca="1">IF(U23&lt;&gt;"",TODAY()-U23,"")</f>
        <v/>
      </c>
      <c r="W23" s="164" t="s">
        <v>2439</v>
      </c>
      <c r="Y23" s="143" t="s">
        <v>41</v>
      </c>
      <c r="Z23" s="144"/>
    </row>
    <row r="24" spans="1:26" x14ac:dyDescent="0.25">
      <c r="A24" s="162" t="s">
        <v>1303</v>
      </c>
      <c r="B24" s="162" t="str">
        <f>VLOOKUP(VLOOKUP(A24,DB_Locations!A:B,2,FALSE),DB_Patients!A:B,2,FALSE)</f>
        <v>BEN AMEUR ALI</v>
      </c>
      <c r="C24" s="162" t="str">
        <f>VLOOKUP(VLOOKUP(A24,DB_Locations!A:B,2,FALSE),DB_Patients!A:H,8,FALSE)&amp;IF(VLOOKUP(VLOOKUP(A24,DB_Locations!A:B,2,FALSE),DB_Patients!A:I,9,FALSE)&lt;&gt;""," ("&amp;VLOOKUP(VLOOKUP(A24,DB_Locations!A:B,2,FALSE),DB_Patients!A:I,9,FALSE)&amp;")","")</f>
        <v>23784605 (97180282)</v>
      </c>
      <c r="D24" s="162" t="str">
        <f>VLOOKUP(VLOOKUP(A24,DB_Locations!A:B,2,FALSE),DB_Patients!A:J,10,FALSE)&amp;" ("&amp;VLOOKUP(VLOOKUP(A24,DB_Locations!A:B,2,FALSE),DB_Patients!A:K,11,FALSE)&amp;")"</f>
        <v>98684211 (99601080)</v>
      </c>
      <c r="E24" s="162" t="str">
        <f>VLOOKUP(VLOOKUP(A24,DB_Locations!A:B,2,FALSE),DB_Patients!A:F,6,FALSE)</f>
        <v>ENFIDHA</v>
      </c>
      <c r="F24" s="162" t="str">
        <f>VLOOKUP(VLOOKUP(A24,DB_Locations!A:B,2,FALSE),DB_Patients!A:M,13,FALSE)</f>
        <v>CNAM</v>
      </c>
      <c r="G24" s="162" t="str">
        <f>VLOOKUP(VLOOKUP(A24,DB_Locations!A:B,2,FALSE),DB_Patients!A:L,12,FALSE)</f>
        <v>ITEB BEN LIMAM</v>
      </c>
      <c r="H24" s="162" t="str">
        <f>VLOOKUP(A24,DB_Locations!A:F,6,FALSE)</f>
        <v>BILEL BOUHLEL</v>
      </c>
      <c r="I24" s="162">
        <f>VLOOKUP(A24,DB_Locations!A:G,7,FALSE)</f>
        <v>0</v>
      </c>
      <c r="J24" s="162" t="str">
        <f>VLOOKUP(VLOOKUP(A24,DB_Locations!A:C,3,FALSE),DB_Appareils!A:B,2,FALSE)</f>
        <v>CONCENTRATEUR O2</v>
      </c>
      <c r="K24" s="161">
        <f>VLOOKUP(A24,DB_Locations!A:D,4,FALSE)</f>
        <v>44764</v>
      </c>
      <c r="L24" s="161" cm="1">
        <f t="array" ref="L24">IF(COUNTIF(DB_Paiements!B:B,A24)=0,"",LOOKUP(2,1/(DB_Paiements!B:B=A24),DB_Paiements!D:D))</f>
        <v>45832</v>
      </c>
      <c r="M24" s="161" cm="1">
        <f t="array" ref="M24">IF(COUNTIF(DB_Paiements!B:B,A24)=0,"",LOOKUP(2,1/(DB_Paiements!B:B=A24),DB_Paiements!E:E))</f>
        <v>45923</v>
      </c>
      <c r="N24" s="162" t="str" cm="1">
        <f t="array" ref="N24">IF(COUNTIF(DB_Paiements!B:B,A24)=0,"",LOOKUP(2,1/(DB_Paiements!B:B=A24),DB_Paiements!G:G))</f>
        <v>CNAM</v>
      </c>
      <c r="O24" s="162" cm="1">
        <f t="array" ref="O24">IF(COUNTIF(DB_Paiements!B:B,A24)=0,"",LOOKUP(2,1/(DB_Paiements!B:B=A24),DB_Paiements!F:F))</f>
        <v>570</v>
      </c>
      <c r="P24" s="160">
        <v>45919</v>
      </c>
      <c r="Q24" s="162">
        <f ca="1">IF(M24&lt;&gt;"",TODAY()-M24,"")</f>
        <v>-28</v>
      </c>
      <c r="R24" s="162" t="str">
        <f>VLOOKUP(VLOOKUP(A24,DB_Locations!A:C,3,FALSE),DB_Appareils!A:F,6,FALSE)</f>
        <v xml:space="preserve">En location </v>
      </c>
      <c r="S24" s="162" t="str">
        <f>VLOOKUP(A24,DB_Locations!A:I,9,FALSE)</f>
        <v>Actif</v>
      </c>
      <c r="T24" s="162"/>
      <c r="U24" s="162"/>
      <c r="V24" s="162"/>
      <c r="W24" s="164" t="s">
        <v>2442</v>
      </c>
      <c r="Y24" s="143" t="s">
        <v>42</v>
      </c>
      <c r="Z24" s="144"/>
    </row>
    <row r="25" spans="1:26" x14ac:dyDescent="0.25">
      <c r="A25" s="162" t="s">
        <v>1304</v>
      </c>
      <c r="B25" s="162" t="str">
        <f>VLOOKUP(VLOOKUP(A25,DB_Locations!A:B,2,FALSE),DB_Patients!A:B,2,FALSE)</f>
        <v>BEN AMEUR ALI</v>
      </c>
      <c r="C25" s="162" t="str">
        <f>VLOOKUP(VLOOKUP(A25,DB_Locations!A:B,2,FALSE),DB_Patients!A:H,8,FALSE)&amp;IF(VLOOKUP(VLOOKUP(A25,DB_Locations!A:B,2,FALSE),DB_Patients!A:I,9,FALSE)&lt;&gt;""," ("&amp;VLOOKUP(VLOOKUP(A25,DB_Locations!A:B,2,FALSE),DB_Patients!A:I,9,FALSE)&amp;")","")</f>
        <v>23784605 (97180282)</v>
      </c>
      <c r="D25" s="162" t="str">
        <f>VLOOKUP(VLOOKUP(A25,DB_Locations!A:B,2,FALSE),DB_Patients!A:J,10,FALSE)&amp;" ("&amp;VLOOKUP(VLOOKUP(A25,DB_Locations!A:B,2,FALSE),DB_Patients!A:K,11,FALSE)&amp;")"</f>
        <v>98684211 (99601080)</v>
      </c>
      <c r="E25" s="162" t="str">
        <f>VLOOKUP(VLOOKUP(A25,DB_Locations!A:B,2,FALSE),DB_Patients!A:F,6,FALSE)</f>
        <v>ENFIDHA</v>
      </c>
      <c r="F25" s="162" t="str">
        <f>VLOOKUP(VLOOKUP(A25,DB_Locations!A:B,2,FALSE),DB_Patients!A:M,13,FALSE)</f>
        <v>CNAM</v>
      </c>
      <c r="G25" s="162" t="str">
        <f>VLOOKUP(VLOOKUP(A25,DB_Locations!A:B,2,FALSE),DB_Patients!A:L,12,FALSE)</f>
        <v>ITEB BEN LIMAM</v>
      </c>
      <c r="H25" s="162" t="str">
        <f>VLOOKUP(A25,DB_Locations!A:F,6,FALSE)</f>
        <v>BILEL BOUHLEL</v>
      </c>
      <c r="I25" s="162">
        <f>VLOOKUP(A25,DB_Locations!A:G,7,FALSE)</f>
        <v>0</v>
      </c>
      <c r="J25" s="162" t="str">
        <f>VLOOKUP(VLOOKUP(A25,DB_Locations!A:C,3,FALSE),DB_Appareils!A:B,2,FALSE)</f>
        <v>VNI</v>
      </c>
      <c r="K25" s="161">
        <f>VLOOKUP(A25,DB_Locations!A:D,4,FALSE)</f>
        <v>44764</v>
      </c>
      <c r="L25" s="161" cm="1">
        <f t="array" ref="L25">IF(COUNTIF(DB_Paiements!B:B,A25)=0,"",LOOKUP(2,1/(DB_Paiements!B:B=A25),DB_Paiements!D:D))</f>
        <v>45740</v>
      </c>
      <c r="M25" s="161" cm="1">
        <f t="array" ref="M25">IF(COUNTIF(DB_Paiements!B:B,A25)=0,"",LOOKUP(2,1/(DB_Paiements!B:B=A25),DB_Paiements!E:E))</f>
        <v>45923</v>
      </c>
      <c r="N25" s="162" t="str" cm="1">
        <f t="array" ref="N25">IF(COUNTIF(DB_Paiements!B:B,A25)=0,"",LOOKUP(2,1/(DB_Paiements!B:B=A25),DB_Paiements!G:G))</f>
        <v>CNAM</v>
      </c>
      <c r="O25" s="162" cm="1">
        <f t="array" ref="O25">IF(COUNTIF(DB_Paiements!B:B,A25)=0,"",LOOKUP(2,1/(DB_Paiements!B:B=A25),DB_Paiements!F:F))</f>
        <v>2580</v>
      </c>
      <c r="P25" s="160">
        <v>45919</v>
      </c>
      <c r="Q25" s="162">
        <f ca="1">IF(M25&lt;&gt;"",TODAY()-M25,"")</f>
        <v>-28</v>
      </c>
      <c r="R25" s="162" t="str">
        <f>VLOOKUP(VLOOKUP(A25,DB_Locations!A:C,3,FALSE),DB_Appareils!A:F,6,FALSE)</f>
        <v xml:space="preserve">En location </v>
      </c>
      <c r="S25" s="162" t="str">
        <f>VLOOKUP(A25,DB_Locations!A:I,9,FALSE)</f>
        <v>Actif</v>
      </c>
      <c r="T25" s="162"/>
      <c r="U25" s="162"/>
      <c r="V25" s="162"/>
      <c r="W25" s="164" t="s">
        <v>2442</v>
      </c>
      <c r="Y25" s="143" t="s">
        <v>43</v>
      </c>
      <c r="Z25" s="144"/>
    </row>
    <row r="26" spans="1:26" x14ac:dyDescent="0.25">
      <c r="A26" s="162" t="s">
        <v>1324</v>
      </c>
      <c r="B26" s="162" t="str">
        <f>VLOOKUP(VLOOKUP(A26,DB_Locations!A:B,2,FALSE),DB_Patients!A:B,2,FALSE)</f>
        <v>BEN AHMED SALEH</v>
      </c>
      <c r="C26" s="162" t="str">
        <f>VLOOKUP(VLOOKUP(A26,DB_Locations!A:B,2,FALSE),DB_Patients!A:H,8,FALSE)&amp;IF(VLOOKUP(VLOOKUP(A26,DB_Locations!A:B,2,FALSE),DB_Patients!A:I,9,FALSE)&lt;&gt;""," ("&amp;VLOOKUP(VLOOKUP(A26,DB_Locations!A:B,2,FALSE),DB_Patients!A:I,9,FALSE)&amp;")","")</f>
        <v>52310951</v>
      </c>
      <c r="D26" s="162" t="str">
        <f>VLOOKUP(VLOOKUP(A26,DB_Locations!A:B,2,FALSE),DB_Patients!A:J,10,FALSE)&amp;" ("&amp;VLOOKUP(VLOOKUP(A26,DB_Locations!A:B,2,FALSE),DB_Patients!A:K,11,FALSE)&amp;")"</f>
        <v>54910037 ()</v>
      </c>
      <c r="E26" s="162" t="str">
        <f>VLOOKUP(VLOOKUP(A26,DB_Locations!A:B,2,FALSE),DB_Patients!A:F,6,FALSE)</f>
        <v>MSAKEN</v>
      </c>
      <c r="F26" s="162" t="str">
        <f>VLOOKUP(VLOOKUP(A26,DB_Locations!A:B,2,FALSE),DB_Patients!A:M,13,FALSE)</f>
        <v>CNAM</v>
      </c>
      <c r="G26" s="162" t="str">
        <f>VLOOKUP(VLOOKUP(A26,DB_Locations!A:B,2,FALSE),DB_Patients!A:L,12,FALSE)</f>
        <v>IMEN MJANDEL</v>
      </c>
      <c r="H26" s="162" t="str">
        <f>VLOOKUP(A26,DB_Locations!A:F,6,FALSE)</f>
        <v>BILEL BOUHLEL</v>
      </c>
      <c r="I26" s="162">
        <f>VLOOKUP(A26,DB_Locations!A:G,7,FALSE)</f>
        <v>0</v>
      </c>
      <c r="J26" s="162" t="str">
        <f>VLOOKUP(VLOOKUP(A26,DB_Locations!A:C,3,FALSE),DB_Appareils!A:B,2,FALSE)</f>
        <v>CONCENTRATEUR O2</v>
      </c>
      <c r="K26" s="161">
        <f>VLOOKUP(A26,DB_Locations!A:D,4,FALSE)</f>
        <v>44769</v>
      </c>
      <c r="L26" s="161" cm="1">
        <f t="array" ref="L26">IF(COUNTIF(DB_Paiements!B:B,A26)=0,"",LOOKUP(2,1/(DB_Paiements!B:B=A26),DB_Paiements!D:D))</f>
        <v>45788</v>
      </c>
      <c r="M26" s="161" cm="1">
        <f t="array" ref="M26">IF(COUNTIF(DB_Paiements!B:B,A26)=0,"",LOOKUP(2,1/(DB_Paiements!B:B=A26),DB_Paiements!E:E))</f>
        <v>45879</v>
      </c>
      <c r="N26" s="162" t="str" cm="1">
        <f t="array" ref="N26">IF(COUNTIF(DB_Paiements!B:B,A26)=0,"",LOOKUP(2,1/(DB_Paiements!B:B=A26),DB_Paiements!G:G))</f>
        <v>CNAM</v>
      </c>
      <c r="O26" s="162" cm="1">
        <f t="array" ref="O26">IF(COUNTIF(DB_Paiements!B:B,A26)=0,"",LOOKUP(2,1/(DB_Paiements!B:B=A26),DB_Paiements!F:F))</f>
        <v>570</v>
      </c>
      <c r="P26" s="160">
        <v>45895</v>
      </c>
      <c r="Q26" s="162">
        <f ca="1">IF(M26&lt;&gt;"",TODAY()-M26,"")</f>
        <v>16</v>
      </c>
      <c r="R26" s="162" t="str">
        <f>VLOOKUP(VLOOKUP(A26,DB_Locations!A:C,3,FALSE),DB_Appareils!A:F,6,FALSE)</f>
        <v xml:space="preserve">En location </v>
      </c>
      <c r="S26" s="162" t="str">
        <f>VLOOKUP(A26,DB_Locations!A:I,9,FALSE)</f>
        <v>Actif</v>
      </c>
      <c r="T26" s="162" t="s">
        <v>2346</v>
      </c>
      <c r="U26" s="162"/>
      <c r="V26" s="164" t="str">
        <f ca="1">IF(U26&lt;&gt;"",TODAY()-U26,"")</f>
        <v/>
      </c>
      <c r="W26" s="164" t="s">
        <v>2481</v>
      </c>
      <c r="Y26" s="143" t="s">
        <v>44</v>
      </c>
      <c r="Z26" s="144"/>
    </row>
    <row r="27" spans="1:26" x14ac:dyDescent="0.25">
      <c r="A27" s="162" t="s">
        <v>1327</v>
      </c>
      <c r="B27" s="162" t="str">
        <f>VLOOKUP(VLOOKUP(A27,DB_Locations!A:B,2,FALSE),DB_Patients!A:B,2,FALSE)</f>
        <v>MOUSSA MOKTHAR</v>
      </c>
      <c r="C27" s="162" t="str">
        <f>VLOOKUP(VLOOKUP(A27,DB_Locations!A:B,2,FALSE),DB_Patients!A:H,8,FALSE)&amp;IF(VLOOKUP(VLOOKUP(A27,DB_Locations!A:B,2,FALSE),DB_Patients!A:I,9,FALSE)&lt;&gt;""," ("&amp;VLOOKUP(VLOOKUP(A27,DB_Locations!A:B,2,FALSE),DB_Patients!A:I,9,FALSE)&amp;")","")</f>
        <v>97006419</v>
      </c>
      <c r="D27" s="162" t="str">
        <f>VLOOKUP(VLOOKUP(A27,DB_Locations!A:B,2,FALSE),DB_Patients!A:J,10,FALSE)&amp;" ("&amp;VLOOKUP(VLOOKUP(A27,DB_Locations!A:B,2,FALSE),DB_Patients!A:K,11,FALSE)&amp;")"</f>
        <v>98291696 ()</v>
      </c>
      <c r="E27" s="162" t="str">
        <f>VLOOKUP(VLOOKUP(A27,DB_Locations!A:B,2,FALSE),DB_Patients!A:F,6,FALSE)</f>
        <v>RCHACHRA</v>
      </c>
      <c r="F27" s="162" t="str">
        <f>VLOOKUP(VLOOKUP(A27,DB_Locations!A:B,2,FALSE),DB_Patients!A:M,13,FALSE)</f>
        <v>CNAM</v>
      </c>
      <c r="G27" s="162" t="str">
        <f>VLOOKUP(VLOOKUP(A27,DB_Locations!A:B,2,FALSE),DB_Patients!A:L,12,FALSE)</f>
        <v>ASMA KNAZ</v>
      </c>
      <c r="H27" s="162" t="str">
        <f>VLOOKUP(A27,DB_Locations!A:F,6,FALSE)</f>
        <v>KARIM</v>
      </c>
      <c r="I27" s="162">
        <f>VLOOKUP(A27,DB_Locations!A:G,7,FALSE)</f>
        <v>0</v>
      </c>
      <c r="J27" s="162" t="str">
        <f>VLOOKUP(VLOOKUP(A27,DB_Locations!A:C,3,FALSE),DB_Appareils!A:B,2,FALSE)</f>
        <v>CONCENTRATEUR O2</v>
      </c>
      <c r="K27" s="161">
        <f>VLOOKUP(A27,DB_Locations!A:D,4,FALSE)</f>
        <v>45057</v>
      </c>
      <c r="L27" s="161" cm="1">
        <f t="array" ref="L27">IF(COUNTIF(DB_Paiements!B:B,A27)=0,"",LOOKUP(2,1/(DB_Paiements!B:B=A27),DB_Paiements!D:D))</f>
        <v>45854</v>
      </c>
      <c r="M27" s="161" cm="1">
        <f t="array" ref="M27">IF(COUNTIF(DB_Paiements!B:B,A27)=0,"",LOOKUP(2,1/(DB_Paiements!B:B=A27),DB_Paiements!E:E))</f>
        <v>45945</v>
      </c>
      <c r="N27" s="162" t="str" cm="1">
        <f t="array" ref="N27">IF(COUNTIF(DB_Paiements!B:B,A27)=0,"",LOOKUP(2,1/(DB_Paiements!B:B=A27),DB_Paiements!G:G))</f>
        <v>CNAM</v>
      </c>
      <c r="O27" s="162" cm="1">
        <f t="array" ref="O27">IF(COUNTIF(DB_Paiements!B:B,A27)=0,"",LOOKUP(2,1/(DB_Paiements!B:B=A27),DB_Paiements!F:F))</f>
        <v>570</v>
      </c>
      <c r="P27" s="160">
        <v>45943</v>
      </c>
      <c r="Q27" s="162">
        <f ca="1">IF(M27&lt;&gt;"",TODAY()-M27,"")</f>
        <v>-50</v>
      </c>
      <c r="R27" s="162" t="str">
        <f>VLOOKUP(VLOOKUP(A27,DB_Locations!A:C,3,FALSE),DB_Appareils!A:F,6,FALSE)</f>
        <v xml:space="preserve">En location </v>
      </c>
      <c r="S27" s="162" t="str">
        <f>VLOOKUP(A27,DB_Locations!A:I,9,FALSE)</f>
        <v>Actif</v>
      </c>
      <c r="T27" s="162"/>
      <c r="U27" s="162"/>
      <c r="V27" s="164" t="str">
        <f ca="1">IF(U27&lt;&gt;"",TODAY()-U27,"")</f>
        <v/>
      </c>
      <c r="W27" s="164" t="s">
        <v>2443</v>
      </c>
      <c r="Y27" s="143"/>
      <c r="Z27" s="144"/>
    </row>
    <row r="28" spans="1:26" x14ac:dyDescent="0.25">
      <c r="A28" s="162" t="s">
        <v>1328</v>
      </c>
      <c r="B28" s="162" t="str">
        <f>VLOOKUP(VLOOKUP(A28,DB_Locations!A:B,2,FALSE),DB_Patients!A:B,2,FALSE)</f>
        <v>MOUSSA MOKTHAR</v>
      </c>
      <c r="C28" s="162" t="str">
        <f>VLOOKUP(VLOOKUP(A28,DB_Locations!A:B,2,FALSE),DB_Patients!A:H,8,FALSE)&amp;IF(VLOOKUP(VLOOKUP(A28,DB_Locations!A:B,2,FALSE),DB_Patients!A:I,9,FALSE)&lt;&gt;""," ("&amp;VLOOKUP(VLOOKUP(A28,DB_Locations!A:B,2,FALSE),DB_Patients!A:I,9,FALSE)&amp;")","")</f>
        <v>97006419</v>
      </c>
      <c r="D28" s="162" t="str">
        <f>VLOOKUP(VLOOKUP(A28,DB_Locations!A:B,2,FALSE),DB_Patients!A:J,10,FALSE)&amp;" ("&amp;VLOOKUP(VLOOKUP(A28,DB_Locations!A:B,2,FALSE),DB_Patients!A:K,11,FALSE)&amp;")"</f>
        <v>98291696 ()</v>
      </c>
      <c r="E28" s="162" t="str">
        <f>VLOOKUP(VLOOKUP(A28,DB_Locations!A:B,2,FALSE),DB_Patients!A:F,6,FALSE)</f>
        <v>RCHACHRA</v>
      </c>
      <c r="F28" s="162" t="str">
        <f>VLOOKUP(VLOOKUP(A28,DB_Locations!A:B,2,FALSE),DB_Patients!A:M,13,FALSE)</f>
        <v>CNAM</v>
      </c>
      <c r="G28" s="162" t="str">
        <f>VLOOKUP(VLOOKUP(A28,DB_Locations!A:B,2,FALSE),DB_Patients!A:L,12,FALSE)</f>
        <v>ASMA KNAZ</v>
      </c>
      <c r="H28" s="162" t="str">
        <f>VLOOKUP(A28,DB_Locations!A:F,6,FALSE)</f>
        <v>KARIM</v>
      </c>
      <c r="I28" s="162">
        <f>VLOOKUP(A28,DB_Locations!A:G,7,FALSE)</f>
        <v>0</v>
      </c>
      <c r="J28" s="162" t="str">
        <f>VLOOKUP(VLOOKUP(A28,DB_Locations!A:C,3,FALSE),DB_Appareils!A:B,2,FALSE)</f>
        <v>VNI</v>
      </c>
      <c r="K28" s="161">
        <f>VLOOKUP(A28,DB_Locations!A:D,4,FALSE)</f>
        <v>45057</v>
      </c>
      <c r="L28" s="161" cm="1">
        <f t="array" ref="L28">IF(COUNTIF(DB_Paiements!B:B,A28)=0,"",LOOKUP(2,1/(DB_Paiements!B:B=A28),DB_Paiements!D:D))</f>
        <v>45854</v>
      </c>
      <c r="M28" s="161" cm="1">
        <f t="array" ref="M28">IF(COUNTIF(DB_Paiements!B:B,A28)=0,"",LOOKUP(2,1/(DB_Paiements!B:B=A28),DB_Paiements!E:E))</f>
        <v>46037</v>
      </c>
      <c r="N28" s="162" t="str" cm="1">
        <f t="array" ref="N28">IF(COUNTIF(DB_Paiements!B:B,A28)=0,"",LOOKUP(2,1/(DB_Paiements!B:B=A28),DB_Paiements!G:G))</f>
        <v>CNAM</v>
      </c>
      <c r="O28" s="162" cm="1">
        <f t="array" ref="O28">IF(COUNTIF(DB_Paiements!B:B,A28)=0,"",LOOKUP(2,1/(DB_Paiements!B:B=A28),DB_Paiements!F:F))</f>
        <v>2580</v>
      </c>
      <c r="P28" s="160">
        <v>46034</v>
      </c>
      <c r="Q28" s="162">
        <f ca="1">IF(M28&lt;&gt;"",TODAY()-M28,"")</f>
        <v>-142</v>
      </c>
      <c r="R28" s="162" t="str">
        <f>VLOOKUP(VLOOKUP(A28,DB_Locations!A:C,3,FALSE),DB_Appareils!A:F,6,FALSE)</f>
        <v xml:space="preserve">En location </v>
      </c>
      <c r="S28" s="162" t="str">
        <f>VLOOKUP(A28,DB_Locations!A:I,9,FALSE)</f>
        <v>Actif</v>
      </c>
      <c r="T28" s="162"/>
      <c r="U28" s="162"/>
      <c r="V28" s="164" t="str">
        <f ca="1">IF(U28&lt;&gt;"",TODAY()-U28,"")</f>
        <v/>
      </c>
      <c r="W28" s="164" t="s">
        <v>2444</v>
      </c>
      <c r="Y28" s="143" t="s">
        <v>45</v>
      </c>
      <c r="Z28" s="144"/>
    </row>
    <row r="29" spans="1:26" x14ac:dyDescent="0.25">
      <c r="A29" s="162" t="s">
        <v>1333</v>
      </c>
      <c r="B29" s="162" t="str">
        <f>VLOOKUP(VLOOKUP(A29,DB_Locations!A:B,2,FALSE),DB_Patients!A:B,2,FALSE)</f>
        <v>MISSAOUI HABIBA</v>
      </c>
      <c r="C29" s="162" t="str">
        <f>VLOOKUP(VLOOKUP(A29,DB_Locations!A:B,2,FALSE),DB_Patients!A:H,8,FALSE)&amp;IF(VLOOKUP(VLOOKUP(A29,DB_Locations!A:B,2,FALSE),DB_Patients!A:I,9,FALSE)&lt;&gt;""," ("&amp;VLOOKUP(VLOOKUP(A29,DB_Locations!A:B,2,FALSE),DB_Patients!A:I,9,FALSE)&amp;")","")</f>
        <v>97225010</v>
      </c>
      <c r="D29" s="162" t="str">
        <f>VLOOKUP(VLOOKUP(A29,DB_Locations!A:B,2,FALSE),DB_Patients!A:J,10,FALSE)&amp;" ("&amp;VLOOKUP(VLOOKUP(A29,DB_Locations!A:B,2,FALSE),DB_Patients!A:K,11,FALSE)&amp;")"</f>
        <v>21085582 ()</v>
      </c>
      <c r="E29" s="162" t="str">
        <f>VLOOKUP(VLOOKUP(A29,DB_Locations!A:B,2,FALSE),DB_Patients!A:F,6,FALSE)</f>
        <v>MSAKEN</v>
      </c>
      <c r="F29" s="162" t="str">
        <f>VLOOKUP(VLOOKUP(A29,DB_Locations!A:B,2,FALSE),DB_Patients!A:M,13,FALSE)</f>
        <v>CNAM</v>
      </c>
      <c r="G29" s="162" t="str">
        <f>VLOOKUP(VLOOKUP(A29,DB_Locations!A:B,2,FALSE),DB_Patients!A:L,12,FALSE)</f>
        <v>GARGOURI IMEN</v>
      </c>
      <c r="H29" s="162" t="str">
        <f>VLOOKUP(A29,DB_Locations!A:F,6,FALSE)</f>
        <v>BILEL BOUHLEL</v>
      </c>
      <c r="I29" s="162">
        <f>VLOOKUP(A29,DB_Locations!A:G,7,FALSE)</f>
        <v>0</v>
      </c>
      <c r="J29" s="162" t="str">
        <f>VLOOKUP(VLOOKUP(A29,DB_Locations!A:C,3,FALSE),DB_Appareils!A:B,2,FALSE)</f>
        <v>CONCENTRATEUR O2</v>
      </c>
      <c r="K29" s="161">
        <f>VLOOKUP(A29,DB_Locations!A:D,4,FALSE)</f>
        <v>45063</v>
      </c>
      <c r="L29" s="161" cm="1">
        <f t="array" ref="L29">IF(COUNTIF(DB_Paiements!B:B,A29)=0,"",LOOKUP(2,1/(DB_Paiements!B:B=A29),DB_Paiements!D:D))</f>
        <v>45800</v>
      </c>
      <c r="M29" s="161" cm="1">
        <f t="array" ref="M29">IF(COUNTIF(DB_Paiements!B:B,A29)=0,"",LOOKUP(2,1/(DB_Paiements!B:B=A29),DB_Paiements!E:E))</f>
        <v>45891</v>
      </c>
      <c r="N29" s="162" t="str" cm="1">
        <f t="array" ref="N29">IF(COUNTIF(DB_Paiements!B:B,A29)=0,"",LOOKUP(2,1/(DB_Paiements!B:B=A29),DB_Paiements!G:G))</f>
        <v>CNAM</v>
      </c>
      <c r="O29" s="162" cm="1">
        <f t="array" ref="O29">IF(COUNTIF(DB_Paiements!B:B,A29)=0,"",LOOKUP(2,1/(DB_Paiements!B:B=A29),DB_Paiements!F:F))</f>
        <v>570</v>
      </c>
      <c r="P29" s="160">
        <v>45897</v>
      </c>
      <c r="Q29" s="162">
        <f ca="1">IF(M29&lt;&gt;"",TODAY()-M29,"")</f>
        <v>4</v>
      </c>
      <c r="R29" s="162" t="str">
        <f>VLOOKUP(VLOOKUP(A29,DB_Locations!A:C,3,FALSE),DB_Appareils!A:F,6,FALSE)</f>
        <v xml:space="preserve">En location </v>
      </c>
      <c r="S29" s="162" t="str">
        <f>VLOOKUP(A29,DB_Locations!A:I,9,FALSE)</f>
        <v>Actif</v>
      </c>
      <c r="T29" s="162"/>
      <c r="U29" s="162"/>
      <c r="V29" s="164" t="str">
        <f ca="1">IF(U29&lt;&gt;"",TODAY()-U29,"")</f>
        <v/>
      </c>
      <c r="W29" s="164" t="s">
        <v>2181</v>
      </c>
      <c r="Y29" s="143" t="s">
        <v>46</v>
      </c>
      <c r="Z29" s="144"/>
    </row>
    <row r="30" spans="1:26" x14ac:dyDescent="0.25">
      <c r="A30" s="162" t="s">
        <v>1334</v>
      </c>
      <c r="B30" s="162" t="str">
        <f>VLOOKUP(VLOOKUP(A30,DB_Locations!A:B,2,FALSE),DB_Patients!A:B,2,FALSE)</f>
        <v>MISSAOUI HABIBA</v>
      </c>
      <c r="C30" s="162" t="str">
        <f>VLOOKUP(VLOOKUP(A30,DB_Locations!A:B,2,FALSE),DB_Patients!A:H,8,FALSE)&amp;IF(VLOOKUP(VLOOKUP(A30,DB_Locations!A:B,2,FALSE),DB_Patients!A:I,9,FALSE)&lt;&gt;""," ("&amp;VLOOKUP(VLOOKUP(A30,DB_Locations!A:B,2,FALSE),DB_Patients!A:I,9,FALSE)&amp;")","")</f>
        <v>97225010</v>
      </c>
      <c r="D30" s="162" t="str">
        <f>VLOOKUP(VLOOKUP(A30,DB_Locations!A:B,2,FALSE),DB_Patients!A:J,10,FALSE)&amp;" ("&amp;VLOOKUP(VLOOKUP(A30,DB_Locations!A:B,2,FALSE),DB_Patients!A:K,11,FALSE)&amp;")"</f>
        <v>21085582 ()</v>
      </c>
      <c r="E30" s="162" t="str">
        <f>VLOOKUP(VLOOKUP(A30,DB_Locations!A:B,2,FALSE),DB_Patients!A:F,6,FALSE)</f>
        <v>MSAKEN</v>
      </c>
      <c r="F30" s="162" t="str">
        <f>VLOOKUP(VLOOKUP(A30,DB_Locations!A:B,2,FALSE),DB_Patients!A:M,13,FALSE)</f>
        <v>CNAM</v>
      </c>
      <c r="G30" s="162" t="str">
        <f>VLOOKUP(VLOOKUP(A30,DB_Locations!A:B,2,FALSE),DB_Patients!A:L,12,FALSE)</f>
        <v>GARGOURI IMEN</v>
      </c>
      <c r="H30" s="162" t="str">
        <f>VLOOKUP(A30,DB_Locations!A:F,6,FALSE)</f>
        <v>BILEL BOUHLEL</v>
      </c>
      <c r="I30" s="162">
        <f>VLOOKUP(A30,DB_Locations!A:G,7,FALSE)</f>
        <v>0</v>
      </c>
      <c r="J30" s="162" t="str">
        <f>VLOOKUP(VLOOKUP(A30,DB_Locations!A:C,3,FALSE),DB_Appareils!A:B,2,FALSE)</f>
        <v>VNI</v>
      </c>
      <c r="K30" s="161">
        <f>VLOOKUP(A30,DB_Locations!A:D,4,FALSE)</f>
        <v>45077</v>
      </c>
      <c r="L30" s="161" cm="1">
        <f t="array" ref="L30">IF(COUNTIF(DB_Paiements!B:B,A30)=0,"",LOOKUP(2,1/(DB_Paiements!B:B=A30),DB_Paiements!D:D))</f>
        <v>45800</v>
      </c>
      <c r="M30" s="161" cm="1">
        <f t="array" ref="M30">IF(COUNTIF(DB_Paiements!B:B,A30)=0,"",LOOKUP(2,1/(DB_Paiements!B:B=A30),DB_Paiements!E:E))</f>
        <v>45983</v>
      </c>
      <c r="N30" s="162" t="str" cm="1">
        <f t="array" ref="N30">IF(COUNTIF(DB_Paiements!B:B,A30)=0,"",LOOKUP(2,1/(DB_Paiements!B:B=A30),DB_Paiements!G:G))</f>
        <v>CNAM</v>
      </c>
      <c r="O30" s="162" cm="1">
        <f t="array" ref="O30">IF(COUNTIF(DB_Paiements!B:B,A30)=0,"",LOOKUP(2,1/(DB_Paiements!B:B=A30),DB_Paiements!F:F))</f>
        <v>2580</v>
      </c>
      <c r="P30" s="160">
        <v>45994</v>
      </c>
      <c r="Q30" s="162">
        <f ca="1">IF(M30&lt;&gt;"",TODAY()-M30,"")</f>
        <v>-88</v>
      </c>
      <c r="R30" s="162" t="str">
        <f>VLOOKUP(VLOOKUP(A30,DB_Locations!A:C,3,FALSE),DB_Appareils!A:F,6,FALSE)</f>
        <v xml:space="preserve">En location </v>
      </c>
      <c r="S30" s="162" t="str">
        <f>VLOOKUP(A30,DB_Locations!A:I,9,FALSE)</f>
        <v>Actif</v>
      </c>
      <c r="T30" s="162"/>
      <c r="U30" s="162"/>
      <c r="V30" s="162"/>
      <c r="W30" s="164" t="s">
        <v>2445</v>
      </c>
      <c r="Y30" s="143" t="s">
        <v>47</v>
      </c>
      <c r="Z30" s="144"/>
    </row>
    <row r="31" spans="1:26" x14ac:dyDescent="0.25">
      <c r="A31" s="162" t="s">
        <v>1401</v>
      </c>
      <c r="B31" s="162" t="str">
        <f>VLOOKUP(VLOOKUP(A31,DB_Locations!A:B,2,FALSE),DB_Patients!A:B,2,FALSE)</f>
        <v>HAMDI TAHA HOUCEINE</v>
      </c>
      <c r="C31" s="162" t="str">
        <f>VLOOKUP(VLOOKUP(A31,DB_Locations!A:B,2,FALSE),DB_Patients!A:H,8,FALSE)&amp;IF(VLOOKUP(VLOOKUP(A31,DB_Locations!A:B,2,FALSE),DB_Patients!A:I,9,FALSE)&lt;&gt;""," ("&amp;VLOOKUP(VLOOKUP(A31,DB_Locations!A:B,2,FALSE),DB_Patients!A:I,9,FALSE)&amp;")","")</f>
        <v>98283873 (HAMDI)</v>
      </c>
      <c r="D31" s="162" t="str">
        <f>VLOOKUP(VLOOKUP(A31,DB_Locations!A:B,2,FALSE),DB_Patients!A:J,10,FALSE)&amp;" ("&amp;VLOOKUP(VLOOKUP(A31,DB_Locations!A:B,2,FALSE),DB_Patients!A:K,11,FALSE)&amp;")"</f>
        <v>52173700 (SA FILLE)</v>
      </c>
      <c r="E31" s="162" t="str">
        <f>VLOOKUP(VLOOKUP(A31,DB_Locations!A:B,2,FALSE),DB_Patients!A:F,6,FALSE)</f>
        <v>CITE ERRIADH</v>
      </c>
      <c r="F31" s="162" t="str">
        <f>VLOOKUP(VLOOKUP(A31,DB_Locations!A:B,2,FALSE),DB_Patients!A:M,13,FALSE)</f>
        <v>CNAM</v>
      </c>
      <c r="G31" s="162" t="str">
        <f>VLOOKUP(VLOOKUP(A31,DB_Locations!A:B,2,FALSE),DB_Patients!A:L,12,FALSE)</f>
        <v>ASMA KNAZ</v>
      </c>
      <c r="H31" s="162" t="str">
        <f>VLOOKUP(A31,DB_Locations!A:F,6,FALSE)</f>
        <v>BILEL BOUHLEL</v>
      </c>
      <c r="I31" s="162">
        <f>VLOOKUP(A31,DB_Locations!A:G,7,FALSE)</f>
        <v>0</v>
      </c>
      <c r="J31" s="162" t="str">
        <f>VLOOKUP(VLOOKUP(A31,DB_Locations!A:C,3,FALSE),DB_Appareils!A:B,2,FALSE)</f>
        <v>CONCENTRATEUR O2</v>
      </c>
      <c r="K31" s="161">
        <f>VLOOKUP(A31,DB_Locations!A:D,4,FALSE)</f>
        <v>45084</v>
      </c>
      <c r="L31" s="161" cm="1">
        <f t="array" ref="L31">IF(COUNTIF(DB_Paiements!B:B,A31)=0,"",LOOKUP(2,1/(DB_Paiements!B:B=A31),DB_Paiements!D:D))</f>
        <v>45856</v>
      </c>
      <c r="M31" s="161" cm="1">
        <f t="array" ref="M31">IF(COUNTIF(DB_Paiements!B:B,A31)=0,"",LOOKUP(2,1/(DB_Paiements!B:B=A31),DB_Paiements!E:E))</f>
        <v>45947</v>
      </c>
      <c r="N31" s="162" t="str" cm="1">
        <f t="array" ref="N31">IF(COUNTIF(DB_Paiements!B:B,A31)=0,"",LOOKUP(2,1/(DB_Paiements!B:B=A31),DB_Paiements!G:G))</f>
        <v>CNAM</v>
      </c>
      <c r="O31" s="162" cm="1">
        <f t="array" ref="O31">IF(COUNTIF(DB_Paiements!B:B,A31)=0,"",LOOKUP(2,1/(DB_Paiements!B:B=A31),DB_Paiements!F:F))</f>
        <v>570</v>
      </c>
      <c r="P31" s="160">
        <v>45943</v>
      </c>
      <c r="Q31" s="162">
        <f ca="1">IF(M31&lt;&gt;"",TODAY()-M31,"")</f>
        <v>-52</v>
      </c>
      <c r="R31" s="162" t="str">
        <f>VLOOKUP(VLOOKUP(A31,DB_Locations!A:C,3,FALSE),DB_Appareils!A:F,6,FALSE)</f>
        <v xml:space="preserve">En location </v>
      </c>
      <c r="S31" s="162" t="str">
        <f>VLOOKUP(A31,DB_Locations!A:I,9,FALSE)</f>
        <v>Actif</v>
      </c>
      <c r="T31" s="162"/>
      <c r="U31" s="162"/>
      <c r="V31" s="162"/>
      <c r="W31" s="164" t="s">
        <v>2443</v>
      </c>
      <c r="Y31" s="143" t="s">
        <v>48</v>
      </c>
      <c r="Z31" s="144"/>
    </row>
    <row r="32" spans="1:26" x14ac:dyDescent="0.25">
      <c r="A32" s="162" t="s">
        <v>1420</v>
      </c>
      <c r="B32" s="162" t="str">
        <f>VLOOKUP(VLOOKUP(A32,DB_Locations!A:B,2,FALSE),DB_Patients!A:B,2,FALSE)</f>
        <v>MHADHBI GHZELLA</v>
      </c>
      <c r="C32" s="162" t="str">
        <f>VLOOKUP(VLOOKUP(A32,DB_Locations!A:B,2,FALSE),DB_Patients!A:H,8,FALSE)&amp;IF(VLOOKUP(VLOOKUP(A32,DB_Locations!A:B,2,FALSE),DB_Patients!A:I,9,FALSE)&lt;&gt;""," ("&amp;VLOOKUP(VLOOKUP(A32,DB_Locations!A:B,2,FALSE),DB_Patients!A:I,9,FALSE)&amp;")","")</f>
        <v>47020120 (NOUREDDINE)</v>
      </c>
      <c r="D32" s="162" t="str">
        <f>VLOOKUP(VLOOKUP(A32,DB_Locations!A:B,2,FALSE),DB_Patients!A:J,10,FALSE)&amp;" ("&amp;VLOOKUP(VLOOKUP(A32,DB_Locations!A:B,2,FALSE),DB_Patients!A:K,11,FALSE)&amp;")"</f>
        <v>46275073 (SA FILLE)</v>
      </c>
      <c r="E32" s="162" t="str">
        <f>VLOOKUP(VLOOKUP(A32,DB_Locations!A:B,2,FALSE),DB_Patients!A:F,6,FALSE)</f>
        <v>BOUFICHA</v>
      </c>
      <c r="F32" s="162" t="str">
        <f>VLOOKUP(VLOOKUP(A32,DB_Locations!A:B,2,FALSE),DB_Patients!A:M,13,FALSE)</f>
        <v>CNAM</v>
      </c>
      <c r="G32" s="162" t="str">
        <f>VLOOKUP(VLOOKUP(A32,DB_Locations!A:B,2,FALSE),DB_Patients!A:L,12,FALSE)</f>
        <v>GARGOURI IMEN</v>
      </c>
      <c r="H32" s="162" t="str">
        <f>VLOOKUP(A32,DB_Locations!A:F,6,FALSE)</f>
        <v>BILEL BOUHLEL</v>
      </c>
      <c r="I32" s="162">
        <f>VLOOKUP(A32,DB_Locations!A:G,7,FALSE)</f>
        <v>0</v>
      </c>
      <c r="J32" s="162" t="str">
        <f>VLOOKUP(VLOOKUP(A32,DB_Locations!A:C,3,FALSE),DB_Appareils!A:B,2,FALSE)</f>
        <v>CONCENTRATEUR O2</v>
      </c>
      <c r="K32" s="161">
        <f>VLOOKUP(A32,DB_Locations!A:D,4,FALSE)</f>
        <v>45579</v>
      </c>
      <c r="L32" s="161" cm="1">
        <f t="array" ref="L32">IF(COUNTIF(DB_Paiements!B:B,A32)=0,"",LOOKUP(2,1/(DB_Paiements!B:B=A32),DB_Paiements!D:D))</f>
        <v>45724</v>
      </c>
      <c r="M32" s="161" cm="1">
        <f t="array" ref="M32">IF(COUNTIF(DB_Paiements!B:B,A32)=0,"",LOOKUP(2,1/(DB_Paiements!B:B=A32),DB_Paiements!E:E))</f>
        <v>45815</v>
      </c>
      <c r="N32" s="162" t="str" cm="1">
        <f t="array" ref="N32">IF(COUNTIF(DB_Paiements!B:B,A32)=0,"",LOOKUP(2,1/(DB_Paiements!B:B=A32),DB_Paiements!G:G))</f>
        <v>CNAM</v>
      </c>
      <c r="O32" s="162" cm="1">
        <f t="array" ref="O32">IF(COUNTIF(DB_Paiements!B:B,A32)=0,"",LOOKUP(2,1/(DB_Paiements!B:B=A32),DB_Paiements!F:F))</f>
        <v>570</v>
      </c>
      <c r="P32" s="160"/>
      <c r="Q32" s="162">
        <f ca="1">IF(M32&lt;&gt;"",TODAY()-M32,"")</f>
        <v>80</v>
      </c>
      <c r="R32" s="162" t="str">
        <f>VLOOKUP(VLOOKUP(A32,DB_Locations!A:C,3,FALSE),DB_Appareils!A:F,6,FALSE)</f>
        <v>En location</v>
      </c>
      <c r="S32" s="162" t="str">
        <f>VLOOKUP(A32,DB_Locations!A:I,9,FALSE)</f>
        <v>Actif</v>
      </c>
      <c r="T32" s="162"/>
      <c r="U32" s="162"/>
      <c r="V32" s="164" t="str">
        <f ca="1">IF(U32&lt;&gt;"",TODAY()-U32,"")</f>
        <v/>
      </c>
      <c r="W32" s="164"/>
      <c r="Y32" s="143"/>
      <c r="Z32" s="144"/>
    </row>
    <row r="33" spans="1:26" x14ac:dyDescent="0.25">
      <c r="A33" s="162" t="s">
        <v>1406</v>
      </c>
      <c r="B33" s="162" t="str">
        <f>VLOOKUP(VLOOKUP(A33,DB_Locations!A:B,2,FALSE),DB_Patients!A:B,2,FALSE)</f>
        <v>BRAHIM HALIMA</v>
      </c>
      <c r="C33" s="162" t="str">
        <f>VLOOKUP(VLOOKUP(A33,DB_Locations!A:B,2,FALSE),DB_Patients!A:H,8,FALSE)&amp;IF(VLOOKUP(VLOOKUP(A33,DB_Locations!A:B,2,FALSE),DB_Patients!A:I,9,FALSE)&lt;&gt;""," ("&amp;VLOOKUP(VLOOKUP(A33,DB_Locations!A:B,2,FALSE),DB_Patients!A:I,9,FALSE)&amp;")","")</f>
        <v>27242652</v>
      </c>
      <c r="D33" s="162" t="str">
        <f>VLOOKUP(VLOOKUP(A33,DB_Locations!A:B,2,FALSE),DB_Patients!A:J,10,FALSE)&amp;" ("&amp;VLOOKUP(VLOOKUP(A33,DB_Locations!A:B,2,FALSE),DB_Patients!A:K,11,FALSE)&amp;")"</f>
        <v>73065424 ()</v>
      </c>
      <c r="E33" s="162" t="str">
        <f>VLOOKUP(VLOOKUP(A33,DB_Locations!A:B,2,FALSE),DB_Patients!A:F,6,FALSE)</f>
        <v>SIDI HENI</v>
      </c>
      <c r="F33" s="162" t="str">
        <f>VLOOKUP(VLOOKUP(A33,DB_Locations!A:B,2,FALSE),DB_Patients!A:M,13,FALSE)</f>
        <v>CNAM</v>
      </c>
      <c r="G33" s="162" t="str">
        <f>VLOOKUP(VLOOKUP(A33,DB_Locations!A:B,2,FALSE),DB_Patients!A:L,12,FALSE)</f>
        <v>IMEN MJANDEL</v>
      </c>
      <c r="H33" s="162" t="str">
        <f>VLOOKUP(A33,DB_Locations!A:F,6,FALSE)</f>
        <v>BILEL BOUHLEL</v>
      </c>
      <c r="I33" s="162">
        <f>VLOOKUP(A33,DB_Locations!A:G,7,FALSE)</f>
        <v>0</v>
      </c>
      <c r="J33" s="162" t="str">
        <f>VLOOKUP(VLOOKUP(A33,DB_Locations!A:C,3,FALSE),DB_Appareils!A:B,2,FALSE)</f>
        <v>CONCENTRATEUR O2</v>
      </c>
      <c r="K33" s="161">
        <f>VLOOKUP(A33,DB_Locations!A:D,4,FALSE)</f>
        <v>45135</v>
      </c>
      <c r="L33" s="161" cm="1">
        <f t="array" ref="L33">IF(COUNTIF(DB_Paiements!B:B,A33)=0,"",LOOKUP(2,1/(DB_Paiements!B:B=A33),DB_Paiements!D:D))</f>
        <v>45721</v>
      </c>
      <c r="M33" s="161" cm="1">
        <f t="array" ref="M33">IF(COUNTIF(DB_Paiements!B:B,A33)=0,"",LOOKUP(2,1/(DB_Paiements!B:B=A33),DB_Paiements!E:E))</f>
        <v>45812</v>
      </c>
      <c r="N33" s="162" t="str" cm="1">
        <f t="array" ref="N33">IF(COUNTIF(DB_Paiements!B:B,A33)=0,"",LOOKUP(2,1/(DB_Paiements!B:B=A33),DB_Paiements!G:G))</f>
        <v>CNAM</v>
      </c>
      <c r="O33" s="162" cm="1">
        <f t="array" ref="O33">IF(COUNTIF(DB_Paiements!B:B,A33)=0,"",LOOKUP(2,1/(DB_Paiements!B:B=A33),DB_Paiements!F:F))</f>
        <v>570</v>
      </c>
      <c r="P33" s="160">
        <v>45895</v>
      </c>
      <c r="Q33" s="162">
        <f ca="1">IF(M33&lt;&gt;"",TODAY()-M33,"")</f>
        <v>83</v>
      </c>
      <c r="R33" s="162" t="str">
        <f>VLOOKUP(VLOOKUP(A33,DB_Locations!A:C,3,FALSE),DB_Appareils!A:F,6,FALSE)</f>
        <v xml:space="preserve">En location </v>
      </c>
      <c r="S33" s="162" t="str">
        <f>VLOOKUP(A33,DB_Locations!A:I,9,FALSE)</f>
        <v>Actif</v>
      </c>
      <c r="T33" s="162" t="s">
        <v>2329</v>
      </c>
      <c r="U33" s="163">
        <v>45823</v>
      </c>
      <c r="V33" s="164">
        <f ca="1">IF(U33&lt;&gt;"",TODAY()-U33,"")</f>
        <v>72</v>
      </c>
      <c r="W33" s="164" t="s">
        <v>2446</v>
      </c>
      <c r="Y33" s="143" t="s">
        <v>49</v>
      </c>
      <c r="Z33" s="144"/>
    </row>
    <row r="34" spans="1:26" x14ac:dyDescent="0.25">
      <c r="A34" s="162" t="s">
        <v>1407</v>
      </c>
      <c r="B34" s="162" t="str">
        <f>VLOOKUP(VLOOKUP(A34,DB_Locations!A:B,2,FALSE),DB_Patients!A:B,2,FALSE)</f>
        <v>BRAHIM HALIMA</v>
      </c>
      <c r="C34" s="162" t="str">
        <f>VLOOKUP(VLOOKUP(A34,DB_Locations!A:B,2,FALSE),DB_Patients!A:H,8,FALSE)&amp;IF(VLOOKUP(VLOOKUP(A34,DB_Locations!A:B,2,FALSE),DB_Patients!A:I,9,FALSE)&lt;&gt;""," ("&amp;VLOOKUP(VLOOKUP(A34,DB_Locations!A:B,2,FALSE),DB_Patients!A:I,9,FALSE)&amp;")","")</f>
        <v>27242652</v>
      </c>
      <c r="D34" s="162" t="str">
        <f>VLOOKUP(VLOOKUP(A34,DB_Locations!A:B,2,FALSE),DB_Patients!A:J,10,FALSE)&amp;" ("&amp;VLOOKUP(VLOOKUP(A34,DB_Locations!A:B,2,FALSE),DB_Patients!A:K,11,FALSE)&amp;")"</f>
        <v>73065424 ()</v>
      </c>
      <c r="E34" s="162" t="str">
        <f>VLOOKUP(VLOOKUP(A34,DB_Locations!A:B,2,FALSE),DB_Patients!A:F,6,FALSE)</f>
        <v>SIDI HENI</v>
      </c>
      <c r="F34" s="162" t="str">
        <f>VLOOKUP(VLOOKUP(A34,DB_Locations!A:B,2,FALSE),DB_Patients!A:M,13,FALSE)</f>
        <v>CNAM</v>
      </c>
      <c r="G34" s="162" t="str">
        <f>VLOOKUP(VLOOKUP(A34,DB_Locations!A:B,2,FALSE),DB_Patients!A:L,12,FALSE)</f>
        <v>IMEN MJANDEL</v>
      </c>
      <c r="H34" s="162" t="str">
        <f>VLOOKUP(A34,DB_Locations!A:F,6,FALSE)</f>
        <v>BILEL BOUHLEL</v>
      </c>
      <c r="I34" s="162">
        <f>VLOOKUP(A34,DB_Locations!A:G,7,FALSE)</f>
        <v>0</v>
      </c>
      <c r="J34" s="162" t="str">
        <f>VLOOKUP(VLOOKUP(A34,DB_Locations!A:C,3,FALSE),DB_Appareils!A:B,2,FALSE)</f>
        <v>VNI</v>
      </c>
      <c r="K34" s="161">
        <f>VLOOKUP(A34,DB_Locations!A:D,4,FALSE)</f>
        <v>45135</v>
      </c>
      <c r="L34" s="161" cm="1">
        <f t="array" ref="L34">IF(COUNTIF(DB_Paiements!B:B,A34)=0,"",LOOKUP(2,1/(DB_Paiements!B:B=A34),DB_Paiements!D:D))</f>
        <v>45763</v>
      </c>
      <c r="M34" s="161" cm="1">
        <f t="array" ref="M34">IF(COUNTIF(DB_Paiements!B:B,A34)=0,"",LOOKUP(2,1/(DB_Paiements!B:B=A34),DB_Paiements!E:E))</f>
        <v>45945</v>
      </c>
      <c r="N34" s="162" t="str" cm="1">
        <f t="array" ref="N34">IF(COUNTIF(DB_Paiements!B:B,A34)=0,"",LOOKUP(2,1/(DB_Paiements!B:B=A34),DB_Paiements!G:G))</f>
        <v>CNAM</v>
      </c>
      <c r="O34" s="162" cm="1">
        <f t="array" ref="O34">IF(COUNTIF(DB_Paiements!B:B,A34)=0,"",LOOKUP(2,1/(DB_Paiements!B:B=A34),DB_Paiements!F:F))</f>
        <v>2580</v>
      </c>
      <c r="P34" s="160">
        <v>45943</v>
      </c>
      <c r="Q34" s="162">
        <f ca="1">IF(M34&lt;&gt;"",TODAY()-M34,"")</f>
        <v>-50</v>
      </c>
      <c r="R34" s="162" t="str">
        <f>VLOOKUP(VLOOKUP(A34,DB_Locations!A:C,3,FALSE),DB_Appareils!A:F,6,FALSE)</f>
        <v xml:space="preserve">En location </v>
      </c>
      <c r="S34" s="162" t="str">
        <f>VLOOKUP(A34,DB_Locations!A:I,9,FALSE)</f>
        <v>Actif</v>
      </c>
      <c r="T34" s="162"/>
      <c r="U34" s="162"/>
      <c r="V34" s="162"/>
      <c r="W34" s="164" t="s">
        <v>2447</v>
      </c>
      <c r="Y34" s="143" t="s">
        <v>50</v>
      </c>
      <c r="Z34" s="144"/>
    </row>
    <row r="35" spans="1:26" x14ac:dyDescent="0.25">
      <c r="A35" s="162" t="s">
        <v>1421</v>
      </c>
      <c r="B35" s="162" t="str">
        <f>VLOOKUP(VLOOKUP(A35,DB_Locations!A:B,2,FALSE),DB_Patients!A:B,2,FALSE)</f>
        <v>MHADHBI GHZELLA</v>
      </c>
      <c r="C35" s="162" t="str">
        <f>VLOOKUP(VLOOKUP(A35,DB_Locations!A:B,2,FALSE),DB_Patients!A:H,8,FALSE)&amp;IF(VLOOKUP(VLOOKUP(A35,DB_Locations!A:B,2,FALSE),DB_Patients!A:I,9,FALSE)&lt;&gt;""," ("&amp;VLOOKUP(VLOOKUP(A35,DB_Locations!A:B,2,FALSE),DB_Patients!A:I,9,FALSE)&amp;")","")</f>
        <v>47020120 (NOUREDDINE)</v>
      </c>
      <c r="D35" s="162" t="str">
        <f>VLOOKUP(VLOOKUP(A35,DB_Locations!A:B,2,FALSE),DB_Patients!A:J,10,FALSE)&amp;" ("&amp;VLOOKUP(VLOOKUP(A35,DB_Locations!A:B,2,FALSE),DB_Patients!A:K,11,FALSE)&amp;")"</f>
        <v>46275073 (SA FILLE)</v>
      </c>
      <c r="E35" s="162" t="str">
        <f>VLOOKUP(VLOOKUP(A35,DB_Locations!A:B,2,FALSE),DB_Patients!A:F,6,FALSE)</f>
        <v>BOUFICHA</v>
      </c>
      <c r="F35" s="162" t="str">
        <f>VLOOKUP(VLOOKUP(A35,DB_Locations!A:B,2,FALSE),DB_Patients!A:M,13,FALSE)</f>
        <v>CNAM</v>
      </c>
      <c r="G35" s="162" t="str">
        <f>VLOOKUP(VLOOKUP(A35,DB_Locations!A:B,2,FALSE),DB_Patients!A:L,12,FALSE)</f>
        <v>GARGOURI IMEN</v>
      </c>
      <c r="H35" s="162" t="str">
        <f>VLOOKUP(A35,DB_Locations!A:F,6,FALSE)</f>
        <v>BILEL BOUHLEL</v>
      </c>
      <c r="I35" s="162">
        <f>VLOOKUP(A35,DB_Locations!A:G,7,FALSE)</f>
        <v>0</v>
      </c>
      <c r="J35" s="162" t="str">
        <f>VLOOKUP(VLOOKUP(A35,DB_Locations!A:C,3,FALSE),DB_Appareils!A:B,2,FALSE)</f>
        <v>VNI</v>
      </c>
      <c r="K35" s="161">
        <f>VLOOKUP(A35,DB_Locations!A:D,4,FALSE)</f>
        <v>44512</v>
      </c>
      <c r="L35" s="161" cm="1">
        <f t="array" ref="L35">IF(COUNTIF(DB_Paiements!B:B,A35)=0,"",LOOKUP(2,1/(DB_Paiements!B:B=A35),DB_Paiements!D:D))</f>
        <v>45666</v>
      </c>
      <c r="M35" s="161" cm="1">
        <f t="array" ref="M35">IF(COUNTIF(DB_Paiements!B:B,A35)=0,"",LOOKUP(2,1/(DB_Paiements!B:B=A35),DB_Paiements!E:E))</f>
        <v>45846</v>
      </c>
      <c r="N35" s="162" t="str" cm="1">
        <f t="array" ref="N35">IF(COUNTIF(DB_Paiements!B:B,A35)=0,"",LOOKUP(2,1/(DB_Paiements!B:B=A35),DB_Paiements!G:G))</f>
        <v>CNAM</v>
      </c>
      <c r="O35" s="162" cm="1">
        <f t="array" ref="O35">IF(COUNTIF(DB_Paiements!B:B,A35)=0,"",LOOKUP(2,1/(DB_Paiements!B:B=A35),DB_Paiements!F:F))</f>
        <v>2580</v>
      </c>
      <c r="P35" s="160"/>
      <c r="Q35" s="162">
        <f ca="1">IF(M35&lt;&gt;"",TODAY()-M35,"")</f>
        <v>49</v>
      </c>
      <c r="R35" s="162" t="str">
        <f>VLOOKUP(VLOOKUP(A35,DB_Locations!A:C,3,FALSE),DB_Appareils!A:F,6,FALSE)</f>
        <v>En location</v>
      </c>
      <c r="S35" s="162" t="str">
        <f>VLOOKUP(A35,DB_Locations!A:I,9,FALSE)</f>
        <v>Actif</v>
      </c>
      <c r="T35" s="162"/>
      <c r="U35" s="162"/>
      <c r="V35" s="164" t="str">
        <f ca="1">IF(U35&lt;&gt;"",TODAY()-U35,"")</f>
        <v/>
      </c>
      <c r="W35" s="164"/>
      <c r="Y35" s="143" t="s">
        <v>51</v>
      </c>
      <c r="Z35" s="144"/>
    </row>
    <row r="36" spans="1:26" x14ac:dyDescent="0.25">
      <c r="A36" s="162" t="s">
        <v>1414</v>
      </c>
      <c r="B36" s="162" t="str">
        <f>VLOOKUP(VLOOKUP(A36,DB_Locations!A:B,2,FALSE),DB_Patients!A:B,2,FALSE)</f>
        <v xml:space="preserve">MANI ABDESSALEM </v>
      </c>
      <c r="C36" s="162" t="str">
        <f>VLOOKUP(VLOOKUP(A36,DB_Locations!A:B,2,FALSE),DB_Patients!A:H,8,FALSE)&amp;IF(VLOOKUP(VLOOKUP(A36,DB_Locations!A:B,2,FALSE),DB_Patients!A:I,9,FALSE)&lt;&gt;""," ("&amp;VLOOKUP(VLOOKUP(A36,DB_Locations!A:B,2,FALSE),DB_Patients!A:I,9,FALSE)&amp;")","")</f>
        <v>24045800 (SA FILLE)</v>
      </c>
      <c r="D36" s="162" t="str">
        <f>VLOOKUP(VLOOKUP(A36,DB_Locations!A:B,2,FALSE),DB_Patients!A:J,10,FALSE)&amp;" ("&amp;VLOOKUP(VLOOKUP(A36,DB_Locations!A:B,2,FALSE),DB_Patients!A:K,11,FALSE)&amp;")"</f>
        <v>95581737 ()</v>
      </c>
      <c r="E36" s="162" t="str">
        <f>VLOOKUP(VLOOKUP(A36,DB_Locations!A:B,2,FALSE),DB_Patients!A:F,6,FALSE)</f>
        <v>HAMMEM SOUSSE</v>
      </c>
      <c r="F36" s="162" t="str">
        <f>VLOOKUP(VLOOKUP(A36,DB_Locations!A:B,2,FALSE),DB_Patients!A:M,13,FALSE)</f>
        <v>CNAM</v>
      </c>
      <c r="G36" s="162" t="str">
        <f>VLOOKUP(VLOOKUP(A36,DB_Locations!A:B,2,FALSE),DB_Patients!A:L,12,FALSE)</f>
        <v>GARGOURI IMEN</v>
      </c>
      <c r="H36" s="162" t="str">
        <f>VLOOKUP(A36,DB_Locations!A:F,6,FALSE)</f>
        <v>KARIM</v>
      </c>
      <c r="I36" s="162">
        <f>VLOOKUP(A36,DB_Locations!A:G,7,FALSE)</f>
        <v>0</v>
      </c>
      <c r="J36" s="162" t="str">
        <f>VLOOKUP(VLOOKUP(A36,DB_Locations!A:C,3,FALSE),DB_Appareils!A:B,2,FALSE)</f>
        <v>CONCENTRATEUR O2</v>
      </c>
      <c r="K36" s="161">
        <f>VLOOKUP(A36,DB_Locations!A:D,4,FALSE)</f>
        <v>45272</v>
      </c>
      <c r="L36" s="161" cm="1">
        <f t="array" ref="L36">IF(COUNTIF(DB_Paiements!B:B,A36)=0,"",LOOKUP(2,1/(DB_Paiements!B:B=A36),DB_Paiements!D:D))</f>
        <v>45792</v>
      </c>
      <c r="M36" s="161" cm="1">
        <f t="array" ref="M36">IF(COUNTIF(DB_Paiements!B:B,A36)=0,"",LOOKUP(2,1/(DB_Paiements!B:B=A36),DB_Paiements!E:E))</f>
        <v>45883</v>
      </c>
      <c r="N36" s="162" t="str" cm="1">
        <f t="array" ref="N36">IF(COUNTIF(DB_Paiements!B:B,A36)=0,"",LOOKUP(2,1/(DB_Paiements!B:B=A36),DB_Paiements!G:G))</f>
        <v>CNAM</v>
      </c>
      <c r="O36" s="162" cm="1">
        <f t="array" ref="O36">IF(COUNTIF(DB_Paiements!B:B,A36)=0,"",LOOKUP(2,1/(DB_Paiements!B:B=A36),DB_Paiements!F:F))</f>
        <v>570</v>
      </c>
      <c r="P36" s="160"/>
      <c r="Q36" s="162">
        <f ca="1">IF(M36&lt;&gt;"",TODAY()-M36,"")</f>
        <v>12</v>
      </c>
      <c r="R36" s="162" t="str">
        <f>VLOOKUP(VLOOKUP(A36,DB_Locations!A:C,3,FALSE),DB_Appareils!A:F,6,FALSE)</f>
        <v xml:space="preserve">En location </v>
      </c>
      <c r="S36" s="162" t="str">
        <f>VLOOKUP(A36,DB_Locations!A:I,9,FALSE)</f>
        <v>Actif</v>
      </c>
      <c r="T36" s="162" t="s">
        <v>2329</v>
      </c>
      <c r="U36" s="163">
        <v>45887</v>
      </c>
      <c r="V36" s="164">
        <f ca="1">IF(U36&lt;&gt;"",TODAY()-U36,"")</f>
        <v>8</v>
      </c>
      <c r="W36" s="164" t="s">
        <v>2396</v>
      </c>
      <c r="Y36" s="143" t="s">
        <v>52</v>
      </c>
      <c r="Z36" s="144"/>
    </row>
    <row r="37" spans="1:26" x14ac:dyDescent="0.25">
      <c r="A37" s="162" t="s">
        <v>1410</v>
      </c>
      <c r="B37" s="162" t="str">
        <f>VLOOKUP(VLOOKUP(A37,DB_Locations!A:B,2,FALSE),DB_Patients!A:B,2,FALSE)</f>
        <v>ZAOUI MBARKA</v>
      </c>
      <c r="C37" s="162" t="str">
        <f>VLOOKUP(VLOOKUP(A37,DB_Locations!A:B,2,FALSE),DB_Patients!A:H,8,FALSE)&amp;IF(VLOOKUP(VLOOKUP(A37,DB_Locations!A:B,2,FALSE),DB_Patients!A:I,9,FALSE)&lt;&gt;""," ("&amp;VLOOKUP(VLOOKUP(A37,DB_Locations!A:B,2,FALSE),DB_Patients!A:I,9,FALSE)&amp;")","")</f>
        <v>97281642</v>
      </c>
      <c r="D37" s="162" t="str">
        <f>VLOOKUP(VLOOKUP(A37,DB_Locations!A:B,2,FALSE),DB_Patients!A:J,10,FALSE)&amp;" ("&amp;VLOOKUP(VLOOKUP(A37,DB_Locations!A:B,2,FALSE),DB_Patients!A:K,11,FALSE)&amp;")"</f>
        <v>98608528 ()</v>
      </c>
      <c r="E37" s="162" t="str">
        <f>VLOOKUP(VLOOKUP(A37,DB_Locations!A:B,2,FALSE),DB_Patients!A:F,6,FALSE)</f>
        <v>SAHLOUL</v>
      </c>
      <c r="F37" s="162" t="str">
        <f>VLOOKUP(VLOOKUP(A37,DB_Locations!A:B,2,FALSE),DB_Patients!A:M,13,FALSE)</f>
        <v>CNAM</v>
      </c>
      <c r="G37" s="162" t="str">
        <f>VLOOKUP(VLOOKUP(A37,DB_Locations!A:B,2,FALSE),DB_Patients!A:L,12,FALSE)</f>
        <v xml:space="preserve">JAFFEL (GAFSA) / HAYOUNI </v>
      </c>
      <c r="H37" s="162" t="str">
        <f>VLOOKUP(A37,DB_Locations!A:F,6,FALSE)</f>
        <v>BILEL BOUHLEL</v>
      </c>
      <c r="I37" s="162">
        <f>VLOOKUP(A37,DB_Locations!A:G,7,FALSE)</f>
        <v>0</v>
      </c>
      <c r="J37" s="162" t="str">
        <f>VLOOKUP(VLOOKUP(A37,DB_Locations!A:C,3,FALSE),DB_Appareils!A:B,2,FALSE)</f>
        <v>CONCENTRATEUR O2</v>
      </c>
      <c r="K37" s="161">
        <f>VLOOKUP(A37,DB_Locations!A:D,4,FALSE)</f>
        <v>45226</v>
      </c>
      <c r="L37" s="161" cm="1">
        <f t="array" ref="L37">IF(COUNTIF(DB_Paiements!B:B,A37)=0,"",LOOKUP(2,1/(DB_Paiements!B:B=A37),DB_Paiements!D:D))</f>
        <v>45799</v>
      </c>
      <c r="M37" s="161" cm="1">
        <f t="array" ref="M37">IF(COUNTIF(DB_Paiements!B:B,A37)=0,"",LOOKUP(2,1/(DB_Paiements!B:B=A37),DB_Paiements!E:E))</f>
        <v>45890</v>
      </c>
      <c r="N37" s="162" t="str" cm="1">
        <f t="array" ref="N37">IF(COUNTIF(DB_Paiements!B:B,A37)=0,"",LOOKUP(2,1/(DB_Paiements!B:B=A37),DB_Paiements!G:G))</f>
        <v>CNAM</v>
      </c>
      <c r="O37" s="162" cm="1">
        <f t="array" ref="O37">IF(COUNTIF(DB_Paiements!B:B,A37)=0,"",LOOKUP(2,1/(DB_Paiements!B:B=A37),DB_Paiements!F:F))</f>
        <v>570</v>
      </c>
      <c r="P37" s="160">
        <v>45895</v>
      </c>
      <c r="Q37" s="162">
        <f ca="1">IF(M37&lt;&gt;"",TODAY()-M37,"")</f>
        <v>5</v>
      </c>
      <c r="R37" s="162" t="str">
        <f>VLOOKUP(VLOOKUP(A37,DB_Locations!A:C,3,FALSE),DB_Appareils!A:F,6,FALSE)</f>
        <v xml:space="preserve">En location </v>
      </c>
      <c r="S37" s="162" t="str">
        <f>VLOOKUP(A37,DB_Locations!A:I,9,FALSE)</f>
        <v>Actif</v>
      </c>
      <c r="T37" s="162" t="s">
        <v>2346</v>
      </c>
      <c r="U37" s="162"/>
      <c r="V37" s="164" t="str">
        <f ca="1">IF(U37&lt;&gt;"",TODAY()-U37,"")</f>
        <v/>
      </c>
      <c r="W37" s="164" t="s">
        <v>2449</v>
      </c>
      <c r="Y37" s="143" t="s">
        <v>53</v>
      </c>
      <c r="Z37" s="144"/>
    </row>
    <row r="38" spans="1:26" x14ac:dyDescent="0.25">
      <c r="A38" s="162" t="s">
        <v>1411</v>
      </c>
      <c r="B38" s="162" t="str">
        <f>VLOOKUP(VLOOKUP(A38,DB_Locations!A:B,2,FALSE),DB_Patients!A:B,2,FALSE)</f>
        <v>ZGOLLI SELMANE</v>
      </c>
      <c r="C38" s="162" t="str">
        <f>VLOOKUP(VLOOKUP(A38,DB_Locations!A:B,2,FALSE),DB_Patients!A:H,8,FALSE)&amp;IF(VLOOKUP(VLOOKUP(A38,DB_Locations!A:B,2,FALSE),DB_Patients!A:I,9,FALSE)&lt;&gt;""," ("&amp;VLOOKUP(VLOOKUP(A38,DB_Locations!A:B,2,FALSE),DB_Patients!A:I,9,FALSE)&amp;")","")</f>
        <v>22297856</v>
      </c>
      <c r="D38" s="162" t="str">
        <f>VLOOKUP(VLOOKUP(A38,DB_Locations!A:B,2,FALSE),DB_Patients!A:J,10,FALSE)&amp;" ("&amp;VLOOKUP(VLOOKUP(A38,DB_Locations!A:B,2,FALSE),DB_Patients!A:K,11,FALSE)&amp;")"</f>
        <v>29306060 ()</v>
      </c>
      <c r="E38" s="162" t="str">
        <f>VLOOKUP(VLOOKUP(A38,DB_Locations!A:B,2,FALSE),DB_Patients!A:F,6,FALSE)</f>
        <v>KORBAA</v>
      </c>
      <c r="F38" s="162" t="str">
        <f>VLOOKUP(VLOOKUP(A38,DB_Locations!A:B,2,FALSE),DB_Patients!A:M,13,FALSE)</f>
        <v>CNAM</v>
      </c>
      <c r="G38" s="162" t="str">
        <f>VLOOKUP(VLOOKUP(A38,DB_Locations!A:B,2,FALSE),DB_Patients!A:L,12,FALSE)</f>
        <v>SOPHIA BOUSNINA FEKIH</v>
      </c>
      <c r="H38" s="162" t="str">
        <f>VLOOKUP(A38,DB_Locations!A:F,6,FALSE)</f>
        <v>BILEL BOUHLEL</v>
      </c>
      <c r="I38" s="162">
        <f>VLOOKUP(A38,DB_Locations!A:G,7,FALSE)</f>
        <v>0</v>
      </c>
      <c r="J38" s="162" t="str">
        <f>VLOOKUP(VLOOKUP(A38,DB_Locations!A:C,3,FALSE),DB_Appareils!A:B,2,FALSE)</f>
        <v>CONCENTRATEUR O2</v>
      </c>
      <c r="K38" s="161">
        <f>VLOOKUP(A38,DB_Locations!A:D,4,FALSE)</f>
        <v>45252</v>
      </c>
      <c r="L38" s="161" cm="1">
        <f t="array" ref="L38">IF(COUNTIF(DB_Paiements!B:B,A38)=0,"",LOOKUP(2,1/(DB_Paiements!B:B=A38),DB_Paiements!D:D))</f>
        <v>45811</v>
      </c>
      <c r="M38" s="161" cm="1">
        <f t="array" ref="M38">IF(COUNTIF(DB_Paiements!B:B,A38)=0,"",LOOKUP(2,1/(DB_Paiements!B:B=A38),DB_Paiements!E:E))</f>
        <v>45902</v>
      </c>
      <c r="N38" s="162" t="str" cm="1">
        <f t="array" ref="N38">IF(COUNTIF(DB_Paiements!B:B,A38)=0,"",LOOKUP(2,1/(DB_Paiements!B:B=A38),DB_Paiements!G:G))</f>
        <v>CNAM</v>
      </c>
      <c r="O38" s="162" cm="1">
        <f t="array" ref="O38">IF(COUNTIF(DB_Paiements!B:B,A38)=0,"",LOOKUP(2,1/(DB_Paiements!B:B=A38),DB_Paiements!F:F))</f>
        <v>570</v>
      </c>
      <c r="P38" s="160">
        <v>45898</v>
      </c>
      <c r="Q38" s="162">
        <f ca="1">IF(M38&lt;&gt;"",TODAY()-M38,"")</f>
        <v>-7</v>
      </c>
      <c r="R38" s="162" t="str">
        <f>VLOOKUP(VLOOKUP(A38,DB_Locations!A:C,3,FALSE),DB_Appareils!A:F,6,FALSE)</f>
        <v xml:space="preserve">En location </v>
      </c>
      <c r="S38" s="162" t="str">
        <f>VLOOKUP(A38,DB_Locations!A:I,9,FALSE)</f>
        <v>Actif</v>
      </c>
      <c r="T38" s="162"/>
      <c r="U38" s="162"/>
      <c r="V38" s="162"/>
      <c r="W38" s="164" t="s">
        <v>2448</v>
      </c>
    </row>
    <row r="39" spans="1:26" x14ac:dyDescent="0.25">
      <c r="A39" s="162" t="s">
        <v>1415</v>
      </c>
      <c r="B39" s="162" t="str">
        <f>VLOOKUP(VLOOKUP(A39,DB_Locations!A:B,2,FALSE),DB_Patients!A:B,2,FALSE)</f>
        <v xml:space="preserve">MANI ABDESSALEM </v>
      </c>
      <c r="C39" s="162" t="str">
        <f>VLOOKUP(VLOOKUP(A39,DB_Locations!A:B,2,FALSE),DB_Patients!A:H,8,FALSE)&amp;IF(VLOOKUP(VLOOKUP(A39,DB_Locations!A:B,2,FALSE),DB_Patients!A:I,9,FALSE)&lt;&gt;""," ("&amp;VLOOKUP(VLOOKUP(A39,DB_Locations!A:B,2,FALSE),DB_Patients!A:I,9,FALSE)&amp;")","")</f>
        <v>24045800 (SA FILLE)</v>
      </c>
      <c r="D39" s="162" t="str">
        <f>VLOOKUP(VLOOKUP(A39,DB_Locations!A:B,2,FALSE),DB_Patients!A:J,10,FALSE)&amp;" ("&amp;VLOOKUP(VLOOKUP(A39,DB_Locations!A:B,2,FALSE),DB_Patients!A:K,11,FALSE)&amp;")"</f>
        <v>95581737 ()</v>
      </c>
      <c r="E39" s="162" t="str">
        <f>VLOOKUP(VLOOKUP(A39,DB_Locations!A:B,2,FALSE),DB_Patients!A:F,6,FALSE)</f>
        <v>HAMMEM SOUSSE</v>
      </c>
      <c r="F39" s="162" t="str">
        <f>VLOOKUP(VLOOKUP(A39,DB_Locations!A:B,2,FALSE),DB_Patients!A:M,13,FALSE)</f>
        <v>CNAM</v>
      </c>
      <c r="G39" s="162" t="str">
        <f>VLOOKUP(VLOOKUP(A39,DB_Locations!A:B,2,FALSE),DB_Patients!A:L,12,FALSE)</f>
        <v>GARGOURI IMEN</v>
      </c>
      <c r="H39" s="162" t="str">
        <f>VLOOKUP(A39,DB_Locations!A:F,6,FALSE)</f>
        <v>KARIM</v>
      </c>
      <c r="I39" s="162">
        <f>VLOOKUP(A39,DB_Locations!A:G,7,FALSE)</f>
        <v>0</v>
      </c>
      <c r="J39" s="162" t="str">
        <f>VLOOKUP(VLOOKUP(A39,DB_Locations!A:C,3,FALSE),DB_Appareils!A:B,2,FALSE)</f>
        <v>VNI</v>
      </c>
      <c r="K39" s="161">
        <f>VLOOKUP(A39,DB_Locations!A:D,4,FALSE)</f>
        <v>45272</v>
      </c>
      <c r="L39" s="161" cm="1">
        <f t="array" ref="L39">IF(COUNTIF(DB_Paiements!B:B,A39)=0,"",LOOKUP(2,1/(DB_Paiements!B:B=A39),DB_Paiements!D:D))</f>
        <v>45695</v>
      </c>
      <c r="M39" s="161" cm="1">
        <f t="array" ref="M39">IF(COUNTIF(DB_Paiements!B:B,A39)=0,"",LOOKUP(2,1/(DB_Paiements!B:B=A39),DB_Paiements!E:E))</f>
        <v>45875</v>
      </c>
      <c r="N39" s="162" t="str" cm="1">
        <f t="array" ref="N39">IF(COUNTIF(DB_Paiements!B:B,A39)=0,"",LOOKUP(2,1/(DB_Paiements!B:B=A39),DB_Paiements!G:G))</f>
        <v>CNAM</v>
      </c>
      <c r="O39" s="162" cm="1">
        <f t="array" ref="O39">IF(COUNTIF(DB_Paiements!B:B,A39)=0,"",LOOKUP(2,1/(DB_Paiements!B:B=A39),DB_Paiements!F:F))</f>
        <v>2580</v>
      </c>
      <c r="P39" s="160"/>
      <c r="Q39" s="162">
        <f ca="1">IF(M39&lt;&gt;"",TODAY()-M39,"")</f>
        <v>20</v>
      </c>
      <c r="R39" s="162" t="str">
        <f>VLOOKUP(VLOOKUP(A39,DB_Locations!A:C,3,FALSE),DB_Appareils!A:F,6,FALSE)</f>
        <v xml:space="preserve">En location </v>
      </c>
      <c r="S39" s="162" t="str">
        <f>VLOOKUP(A39,DB_Locations!A:I,9,FALSE)</f>
        <v>Actif</v>
      </c>
      <c r="T39" s="162" t="s">
        <v>2329</v>
      </c>
      <c r="U39" s="163">
        <v>45887</v>
      </c>
      <c r="V39" s="164">
        <f ca="1">IF(U39&lt;&gt;"",TODAY()-U39,"")</f>
        <v>8</v>
      </c>
      <c r="W39" s="164"/>
    </row>
    <row r="40" spans="1:26" x14ac:dyDescent="0.25">
      <c r="A40" s="162" t="s">
        <v>1502</v>
      </c>
      <c r="B40" s="162" t="str">
        <f>VLOOKUP(VLOOKUP(A40,DB_Locations!A:B,2,FALSE),DB_Patients!A:B,2,FALSE)</f>
        <v>MAHJOUB MOHAMED</v>
      </c>
      <c r="C40" s="162" t="str">
        <f>VLOOKUP(VLOOKUP(A40,DB_Locations!A:B,2,FALSE),DB_Patients!A:H,8,FALSE)&amp;IF(VLOOKUP(VLOOKUP(A40,DB_Locations!A:B,2,FALSE),DB_Patients!A:I,9,FALSE)&lt;&gt;""," ("&amp;VLOOKUP(VLOOKUP(A40,DB_Locations!A:B,2,FALSE),DB_Patients!A:I,9,FALSE)&amp;")","")</f>
        <v>54570628</v>
      </c>
      <c r="D40" s="162" t="str">
        <f>VLOOKUP(VLOOKUP(A40,DB_Locations!A:B,2,FALSE),DB_Patients!A:J,10,FALSE)&amp;" ("&amp;VLOOKUP(VLOOKUP(A40,DB_Locations!A:B,2,FALSE),DB_Patients!A:K,11,FALSE)&amp;")"</f>
        <v xml:space="preserve"> ()</v>
      </c>
      <c r="E40" s="162" t="str">
        <f>VLOOKUP(VLOOKUP(A40,DB_Locations!A:B,2,FALSE),DB_Patients!A:F,6,FALSE)</f>
        <v>MSAKEN</v>
      </c>
      <c r="F40" s="162" t="str">
        <f>VLOOKUP(VLOOKUP(A40,DB_Locations!A:B,2,FALSE),DB_Patients!A:M,13,FALSE)</f>
        <v>CNAM</v>
      </c>
      <c r="G40" s="162" t="str">
        <f>VLOOKUP(VLOOKUP(A40,DB_Locations!A:B,2,FALSE),DB_Patients!A:L,12,FALSE)</f>
        <v>GARGOURI IMEN</v>
      </c>
      <c r="H40" s="162" t="str">
        <f>VLOOKUP(A40,DB_Locations!A:F,6,FALSE)</f>
        <v>BILEL BOUHLEL</v>
      </c>
      <c r="I40" s="162">
        <f>VLOOKUP(A40,DB_Locations!A:G,7,FALSE)</f>
        <v>0</v>
      </c>
      <c r="J40" s="162" t="str">
        <f>VLOOKUP(VLOOKUP(A40,DB_Locations!A:C,3,FALSE),DB_Appareils!A:B,2,FALSE)</f>
        <v>VNI</v>
      </c>
      <c r="K40" s="161">
        <f>VLOOKUP(A40,DB_Locations!A:D,4,FALSE)</f>
        <v>45493</v>
      </c>
      <c r="L40" s="161" cm="1">
        <f t="array" ref="L40">IF(COUNTIF(DB_Paiements!B:B,A40)=0,"",LOOKUP(2,1/(DB_Paiements!B:B=A40),DB_Paiements!D:D))</f>
        <v>45828</v>
      </c>
      <c r="M40" s="161" cm="1">
        <f t="array" ref="M40">IF(COUNTIF(DB_Paiements!B:B,A40)=0,"",LOOKUP(2,1/(DB_Paiements!B:B=A40),DB_Paiements!E:E))</f>
        <v>46010</v>
      </c>
      <c r="N40" s="162" t="str" cm="1">
        <f t="array" ref="N40">IF(COUNTIF(DB_Paiements!B:B,A40)=0,"",LOOKUP(2,1/(DB_Paiements!B:B=A40),DB_Paiements!G:G))</f>
        <v>CNAM</v>
      </c>
      <c r="O40" s="162" cm="1">
        <f t="array" ref="O40">IF(COUNTIF(DB_Paiements!B:B,A40)=0,"",LOOKUP(2,1/(DB_Paiements!B:B=A40),DB_Paiements!F:F))</f>
        <v>2580</v>
      </c>
      <c r="P40" s="160"/>
      <c r="Q40" s="162">
        <f ca="1">IF(M40&lt;&gt;"",TODAY()-M40,"")</f>
        <v>-115</v>
      </c>
      <c r="R40" s="162" t="str">
        <f>VLOOKUP(VLOOKUP(A40,DB_Locations!A:C,3,FALSE),DB_Appareils!A:F,6,FALSE)</f>
        <v>En location</v>
      </c>
      <c r="S40" s="162" t="str">
        <f>VLOOKUP(A40,DB_Locations!A:I,9,FALSE)</f>
        <v>ACTIF</v>
      </c>
      <c r="T40" s="162"/>
      <c r="U40" s="162"/>
      <c r="V40" s="162"/>
      <c r="W40" s="164"/>
    </row>
    <row r="41" spans="1:26" x14ac:dyDescent="0.25">
      <c r="A41" s="162" t="s">
        <v>27</v>
      </c>
      <c r="B41" s="162" t="str">
        <f>VLOOKUP(VLOOKUP(A41,DB_Locations!A:B,2,FALSE),DB_Patients!A:B,2,FALSE)</f>
        <v>LOUATI SALEM</v>
      </c>
      <c r="C41" s="162" t="str">
        <f>VLOOKUP(VLOOKUP(A41,DB_Locations!A:B,2,FALSE),DB_Patients!A:H,8,FALSE)&amp;IF(VLOOKUP(VLOOKUP(A41,DB_Locations!A:B,2,FALSE),DB_Patients!A:I,9,FALSE)&lt;&gt;""," ("&amp;VLOOKUP(VLOOKUP(A41,DB_Locations!A:B,2,FALSE),DB_Patients!A:I,9,FALSE)&amp;")","")</f>
        <v>94811779 (SALEM)</v>
      </c>
      <c r="D41" s="162" t="str">
        <f>VLOOKUP(VLOOKUP(A41,DB_Locations!A:B,2,FALSE),DB_Patients!A:J,10,FALSE)&amp;" ("&amp;VLOOKUP(VLOOKUP(A41,DB_Locations!A:B,2,FALSE),DB_Patients!A:K,11,FALSE)&amp;")"</f>
        <v>51045850 (KHALIL FILS)</v>
      </c>
      <c r="E41" s="162" t="str">
        <f>VLOOKUP(VLOOKUP(A41,DB_Locations!A:B,2,FALSE),DB_Patients!A:F,6,FALSE)</f>
        <v>HAMMEM SOUSSE</v>
      </c>
      <c r="F41" s="162" t="str">
        <f>VLOOKUP(VLOOKUP(A41,DB_Locations!A:B,2,FALSE),DB_Patients!A:M,13,FALSE)</f>
        <v>CNAM</v>
      </c>
      <c r="G41" s="162" t="str">
        <f>VLOOKUP(VLOOKUP(A41,DB_Locations!A:B,2,FALSE),DB_Patients!A:L,12,FALSE)</f>
        <v>GARGOURI IMEN</v>
      </c>
      <c r="H41" s="162" t="str">
        <f>VLOOKUP(A41,DB_Locations!A:F,6,FALSE)</f>
        <v>BILEL BOUHLEL</v>
      </c>
      <c r="I41" s="162" t="str">
        <f>VLOOKUP(A41,DB_Locations!A:G,7,FALSE)</f>
        <v>AHMED GAZZEH</v>
      </c>
      <c r="J41" s="162" t="str">
        <f>VLOOKUP(VLOOKUP(A41,DB_Locations!A:C,3,FALSE),DB_Appareils!A:B,2,FALSE)</f>
        <v>VNI</v>
      </c>
      <c r="K41" s="161">
        <f>VLOOKUP(A41,DB_Locations!A:D,4,FALSE)</f>
        <v>43491</v>
      </c>
      <c r="L41" s="161" cm="1">
        <f t="array" ref="L41">IF(COUNTIF(DB_Paiements!B:B,A41)=0,"",LOOKUP(2,1/(DB_Paiements!B:B=A41),DB_Paiements!D:D))</f>
        <v>45697</v>
      </c>
      <c r="M41" s="161" cm="1">
        <f t="array" ref="M41">IF(COUNTIF(DB_Paiements!B:B,A41)=0,"",LOOKUP(2,1/(DB_Paiements!B:B=A41),DB_Paiements!E:E))</f>
        <v>45877</v>
      </c>
      <c r="N41" s="162" t="str" cm="1">
        <f t="array" ref="N41">IF(COUNTIF(DB_Paiements!B:B,A41)=0,"",LOOKUP(2,1/(DB_Paiements!B:B=A41),DB_Paiements!G:G))</f>
        <v>CNAM</v>
      </c>
      <c r="O41" s="162" cm="1">
        <f t="array" ref="O41">IF(COUNTIF(DB_Paiements!B:B,A41)=0,"",LOOKUP(2,1/(DB_Paiements!B:B=A41),DB_Paiements!F:F))</f>
        <v>2580</v>
      </c>
      <c r="P41" s="160" t="s">
        <v>2429</v>
      </c>
      <c r="Q41" s="162">
        <f ca="1">IF(M41&lt;&gt;"",TODAY()-M41,"")</f>
        <v>18</v>
      </c>
      <c r="R41" s="162" t="str">
        <f>VLOOKUP(VLOOKUP(A41,DB_Locations!A:C,3,FALSE),DB_Appareils!A:F,6,FALSE)</f>
        <v xml:space="preserve">En location </v>
      </c>
      <c r="S41" s="162" t="str">
        <f>VLOOKUP(A41,DB_Locations!A:I,9,FALSE)</f>
        <v>Actif</v>
      </c>
      <c r="T41" s="162" t="s">
        <v>2346</v>
      </c>
      <c r="U41" s="162"/>
      <c r="V41" s="164" t="str">
        <f ca="1">IF(U41&lt;&gt;"",TODAY()-U41,"")</f>
        <v/>
      </c>
      <c r="W41" s="164" t="s">
        <v>2181</v>
      </c>
    </row>
    <row r="42" spans="1:26" x14ac:dyDescent="0.25">
      <c r="A42" s="162" t="s">
        <v>1129</v>
      </c>
      <c r="B42" s="162" t="str">
        <f>VLOOKUP(VLOOKUP(A42,DB_Locations!A:B,2,FALSE),DB_Patients!A:B,2,FALSE)</f>
        <v>LOUATI SALEM</v>
      </c>
      <c r="C42" s="162" t="str">
        <f>VLOOKUP(VLOOKUP(A42,DB_Locations!A:B,2,FALSE),DB_Patients!A:H,8,FALSE)&amp;IF(VLOOKUP(VLOOKUP(A42,DB_Locations!A:B,2,FALSE),DB_Patients!A:I,9,FALSE)&lt;&gt;""," ("&amp;VLOOKUP(VLOOKUP(A42,DB_Locations!A:B,2,FALSE),DB_Patients!A:I,9,FALSE)&amp;")","")</f>
        <v>94811779 (SALEM)</v>
      </c>
      <c r="D42" s="162" t="str">
        <f>VLOOKUP(VLOOKUP(A42,DB_Locations!A:B,2,FALSE),DB_Patients!A:J,10,FALSE)&amp;" ("&amp;VLOOKUP(VLOOKUP(A42,DB_Locations!A:B,2,FALSE),DB_Patients!A:K,11,FALSE)&amp;")"</f>
        <v>51045850 (KHALIL FILS)</v>
      </c>
      <c r="E42" s="162" t="str">
        <f>VLOOKUP(VLOOKUP(A42,DB_Locations!A:B,2,FALSE),DB_Patients!A:F,6,FALSE)</f>
        <v>HAMMEM SOUSSE</v>
      </c>
      <c r="F42" s="162" t="str">
        <f>VLOOKUP(VLOOKUP(A42,DB_Locations!A:B,2,FALSE),DB_Patients!A:M,13,FALSE)</f>
        <v>CNAM</v>
      </c>
      <c r="G42" s="162" t="str">
        <f>VLOOKUP(VLOOKUP(A42,DB_Locations!A:B,2,FALSE),DB_Patients!A:L,12,FALSE)</f>
        <v>GARGOURI IMEN</v>
      </c>
      <c r="H42" s="162" t="str">
        <f>VLOOKUP(A42,DB_Locations!A:F,6,FALSE)</f>
        <v>BILEL BOUHLEL</v>
      </c>
      <c r="I42" s="162" t="str">
        <f>VLOOKUP(A42,DB_Locations!A:G,7,FALSE)</f>
        <v>AHMED GAZZEH</v>
      </c>
      <c r="J42" s="162" t="str">
        <f>VLOOKUP(VLOOKUP(A42,DB_Locations!A:C,3,FALSE),DB_Appareils!A:B,2,FALSE)</f>
        <v>CONCENTRATEUR O2</v>
      </c>
      <c r="K42" s="161">
        <f>VLOOKUP(A42,DB_Locations!A:D,4,FALSE)</f>
        <v>43516</v>
      </c>
      <c r="L42" s="161" cm="1">
        <f t="array" ref="L42">IF(COUNTIF(DB_Paiements!B:B,A42)=0,"",LOOKUP(2,1/(DB_Paiements!B:B=A42),DB_Paiements!D:D))</f>
        <v>45786</v>
      </c>
      <c r="M42" s="161" cm="1">
        <f t="array" ref="M42">IF(COUNTIF(DB_Paiements!B:B,A42)=0,"",LOOKUP(2,1/(DB_Paiements!B:B=A42),DB_Paiements!E:E))</f>
        <v>45877</v>
      </c>
      <c r="N42" s="162" t="str" cm="1">
        <f t="array" ref="N42">IF(COUNTIF(DB_Paiements!B:B,A42)=0,"",LOOKUP(2,1/(DB_Paiements!B:B=A42),DB_Paiements!G:G))</f>
        <v xml:space="preserve">CNAM </v>
      </c>
      <c r="O42" s="162" cm="1">
        <f t="array" ref="O42">IF(COUNTIF(DB_Paiements!B:B,A42)=0,"",LOOKUP(2,1/(DB_Paiements!B:B=A42),DB_Paiements!F:F))</f>
        <v>570</v>
      </c>
      <c r="P42" s="160">
        <v>45897</v>
      </c>
      <c r="Q42" s="162">
        <f ca="1">IF(M42&lt;&gt;"",TODAY()-M42,"")</f>
        <v>18</v>
      </c>
      <c r="R42" s="162" t="str">
        <f>VLOOKUP(VLOOKUP(A42,DB_Locations!A:C,3,FALSE),DB_Appareils!A:F,6,FALSE)</f>
        <v xml:space="preserve">En location </v>
      </c>
      <c r="S42" s="162" t="str">
        <f>VLOOKUP(A42,DB_Locations!A:I,9,FALSE)</f>
        <v>Actif</v>
      </c>
      <c r="T42" s="162" t="s">
        <v>2346</v>
      </c>
      <c r="U42" s="162"/>
      <c r="V42" s="164" t="str">
        <f ca="1">IF(U42&lt;&gt;"",TODAY()-U42,"")</f>
        <v/>
      </c>
      <c r="W42" s="164" t="s">
        <v>2181</v>
      </c>
    </row>
    <row r="43" spans="1:26" x14ac:dyDescent="0.25">
      <c r="A43" s="162" t="s">
        <v>1416</v>
      </c>
      <c r="B43" s="162" t="str">
        <f>VLOOKUP(VLOOKUP(A43,DB_Locations!A:B,2,FALSE),DB_Patients!A:B,2,FALSE)</f>
        <v>SALHI ALI</v>
      </c>
      <c r="C43" s="162" t="str">
        <f>VLOOKUP(VLOOKUP(A43,DB_Locations!A:B,2,FALSE),DB_Patients!A:H,8,FALSE)&amp;IF(VLOOKUP(VLOOKUP(A43,DB_Locations!A:B,2,FALSE),DB_Patients!A:I,9,FALSE)&lt;&gt;""," ("&amp;VLOOKUP(VLOOKUP(A43,DB_Locations!A:B,2,FALSE),DB_Patients!A:I,9,FALSE)&amp;")","")</f>
        <v>95346403 (ALI)</v>
      </c>
      <c r="D43" s="162" t="str">
        <f>VLOOKUP(VLOOKUP(A43,DB_Locations!A:B,2,FALSE),DB_Patients!A:J,10,FALSE)&amp;" ("&amp;VLOOKUP(VLOOKUP(A43,DB_Locations!A:B,2,FALSE),DB_Patients!A:K,11,FALSE)&amp;")"</f>
        <v>21928406 (OUSSEMA)</v>
      </c>
      <c r="E43" s="162" t="str">
        <f>VLOOKUP(VLOOKUP(A43,DB_Locations!A:B,2,FALSE),DB_Patients!A:F,6,FALSE)</f>
        <v>MESSADINE</v>
      </c>
      <c r="F43" s="162" t="str">
        <f>VLOOKUP(VLOOKUP(A43,DB_Locations!A:B,2,FALSE),DB_Patients!A:M,13,FALSE)</f>
        <v>CNAM</v>
      </c>
      <c r="G43" s="162" t="str">
        <f>VLOOKUP(VLOOKUP(A43,DB_Locations!A:B,2,FALSE),DB_Patients!A:L,12,FALSE)</f>
        <v>ITEB BEN LIMAM</v>
      </c>
      <c r="H43" s="162" t="str">
        <f>VLOOKUP(A43,DB_Locations!A:F,6,FALSE)</f>
        <v>KARIM</v>
      </c>
      <c r="I43" s="162">
        <f>VLOOKUP(A43,DB_Locations!A:G,7,FALSE)</f>
        <v>0</v>
      </c>
      <c r="J43" s="162" t="str">
        <f>VLOOKUP(VLOOKUP(A43,DB_Locations!A:C,3,FALSE),DB_Appareils!A:B,2,FALSE)</f>
        <v>CONCENTRATEUR O2</v>
      </c>
      <c r="K43" s="161">
        <f>VLOOKUP(A43,DB_Locations!A:D,4,FALSE)</f>
        <v>45300</v>
      </c>
      <c r="L43" s="161" cm="1">
        <f t="array" ref="L43">IF(COUNTIF(DB_Paiements!B:B,A43)=0,"",LOOKUP(2,1/(DB_Paiements!B:B=A43),DB_Paiements!D:D))</f>
        <v>45811</v>
      </c>
      <c r="M43" s="161" cm="1">
        <f t="array" ref="M43">IF(COUNTIF(DB_Paiements!B:B,A43)=0,"",LOOKUP(2,1/(DB_Paiements!B:B=A43),DB_Paiements!E:E))</f>
        <v>45902</v>
      </c>
      <c r="N43" s="162" t="str" cm="1">
        <f t="array" ref="N43">IF(COUNTIF(DB_Paiements!B:B,A43)=0,"",LOOKUP(2,1/(DB_Paiements!B:B=A43),DB_Paiements!G:G))</f>
        <v>CNAM</v>
      </c>
      <c r="O43" s="162" cm="1">
        <f t="array" ref="O43">IF(COUNTIF(DB_Paiements!B:B,A43)=0,"",LOOKUP(2,1/(DB_Paiements!B:B=A43),DB_Paiements!F:F))</f>
        <v>570</v>
      </c>
      <c r="P43" s="160" t="s">
        <v>2185</v>
      </c>
      <c r="Q43" s="162">
        <f ca="1">IF(M43&lt;&gt;"",TODAY()-M43,"")</f>
        <v>-7</v>
      </c>
      <c r="R43" s="162" t="str">
        <f>VLOOKUP(VLOOKUP(A43,DB_Locations!A:C,3,FALSE),DB_Appareils!A:F,6,FALSE)</f>
        <v>En location</v>
      </c>
      <c r="S43" s="162" t="str">
        <f>VLOOKUP(A43,DB_Locations!A:I,9,FALSE)</f>
        <v>Actif</v>
      </c>
      <c r="T43" s="162"/>
      <c r="U43" s="162"/>
      <c r="V43" s="162"/>
      <c r="W43" s="164" t="s">
        <v>2184</v>
      </c>
    </row>
    <row r="44" spans="1:26" x14ac:dyDescent="0.25">
      <c r="A44" s="162" t="s">
        <v>1417</v>
      </c>
      <c r="B44" s="162" t="str">
        <f>VLOOKUP(VLOOKUP(A44,DB_Locations!A:B,2,FALSE),DB_Patients!A:B,2,FALSE)</f>
        <v>SALHI ALI</v>
      </c>
      <c r="C44" s="162" t="str">
        <f>VLOOKUP(VLOOKUP(A44,DB_Locations!A:B,2,FALSE),DB_Patients!A:H,8,FALSE)&amp;IF(VLOOKUP(VLOOKUP(A44,DB_Locations!A:B,2,FALSE),DB_Patients!A:I,9,FALSE)&lt;&gt;""," ("&amp;VLOOKUP(VLOOKUP(A44,DB_Locations!A:B,2,FALSE),DB_Patients!A:I,9,FALSE)&amp;")","")</f>
        <v>95346403 (ALI)</v>
      </c>
      <c r="D44" s="162" t="str">
        <f>VLOOKUP(VLOOKUP(A44,DB_Locations!A:B,2,FALSE),DB_Patients!A:J,10,FALSE)&amp;" ("&amp;VLOOKUP(VLOOKUP(A44,DB_Locations!A:B,2,FALSE),DB_Patients!A:K,11,FALSE)&amp;")"</f>
        <v>21928406 (OUSSEMA)</v>
      </c>
      <c r="E44" s="162" t="str">
        <f>VLOOKUP(VLOOKUP(A44,DB_Locations!A:B,2,FALSE),DB_Patients!A:F,6,FALSE)</f>
        <v>MESSADINE</v>
      </c>
      <c r="F44" s="162" t="str">
        <f>VLOOKUP(VLOOKUP(A44,DB_Locations!A:B,2,FALSE),DB_Patients!A:M,13,FALSE)</f>
        <v>CNAM</v>
      </c>
      <c r="G44" s="162" t="str">
        <f>VLOOKUP(VLOOKUP(A44,DB_Locations!A:B,2,FALSE),DB_Patients!A:L,12,FALSE)</f>
        <v>ITEB BEN LIMAM</v>
      </c>
      <c r="H44" s="162" t="str">
        <f>VLOOKUP(A44,DB_Locations!A:F,6,FALSE)</f>
        <v>KARIM</v>
      </c>
      <c r="I44" s="162">
        <f>VLOOKUP(A44,DB_Locations!A:G,7,FALSE)</f>
        <v>0</v>
      </c>
      <c r="J44" s="162" t="str">
        <f>VLOOKUP(VLOOKUP(A44,DB_Locations!A:C,3,FALSE),DB_Appareils!A:B,2,FALSE)</f>
        <v>VNI</v>
      </c>
      <c r="K44" s="161">
        <f>VLOOKUP(A44,DB_Locations!A:D,4,FALSE)</f>
        <v>45300</v>
      </c>
      <c r="L44" s="161" cm="1">
        <f t="array" ref="L44">IF(COUNTIF(DB_Paiements!B:B,A44)=0,"",LOOKUP(2,1/(DB_Paiements!B:B=A44),DB_Paiements!D:D))</f>
        <v>45811</v>
      </c>
      <c r="M44" s="161" cm="1">
        <f t="array" ref="M44">IF(COUNTIF(DB_Paiements!B:B,A44)=0,"",LOOKUP(2,1/(DB_Paiements!B:B=A44),DB_Paiements!E:E))</f>
        <v>45993</v>
      </c>
      <c r="N44" s="162" t="str" cm="1">
        <f t="array" ref="N44">IF(COUNTIF(DB_Paiements!B:B,A44)=0,"",LOOKUP(2,1/(DB_Paiements!B:B=A44),DB_Paiements!G:G))</f>
        <v>CNAM</v>
      </c>
      <c r="O44" s="162" cm="1">
        <f t="array" ref="O44">IF(COUNTIF(DB_Paiements!B:B,A44)=0,"",LOOKUP(2,1/(DB_Paiements!B:B=A44),DB_Paiements!F:F))</f>
        <v>2580</v>
      </c>
      <c r="P44" s="160" t="s">
        <v>2185</v>
      </c>
      <c r="Q44" s="162">
        <f ca="1">IF(M44&lt;&gt;"",TODAY()-M44,"")</f>
        <v>-98</v>
      </c>
      <c r="R44" s="162" t="str">
        <f>VLOOKUP(VLOOKUP(A44,DB_Locations!A:C,3,FALSE),DB_Appareils!A:F,6,FALSE)</f>
        <v>En location</v>
      </c>
      <c r="S44" s="162" t="str">
        <f>VLOOKUP(A44,DB_Locations!A:I,9,FALSE)</f>
        <v>Actif</v>
      </c>
      <c r="T44" s="162"/>
      <c r="U44" s="162"/>
      <c r="V44" s="162"/>
      <c r="W44" s="164" t="s">
        <v>2184</v>
      </c>
    </row>
    <row r="45" spans="1:26" x14ac:dyDescent="0.25">
      <c r="A45" s="162" t="s">
        <v>1418</v>
      </c>
      <c r="B45" s="162" t="str">
        <f>VLOOKUP(VLOOKUP(A45,DB_Locations!A:B,2,FALSE),DB_Patients!A:B,2,FALSE)</f>
        <v>HAMI ZOUHAIRA</v>
      </c>
      <c r="C45" s="162" t="str">
        <f>VLOOKUP(VLOOKUP(A45,DB_Locations!A:B,2,FALSE),DB_Patients!A:H,8,FALSE)&amp;IF(VLOOKUP(VLOOKUP(A45,DB_Locations!A:B,2,FALSE),DB_Patients!A:I,9,FALSE)&lt;&gt;""," ("&amp;VLOOKUP(VLOOKUP(A45,DB_Locations!A:B,2,FALSE),DB_Patients!A:I,9,FALSE)&amp;")","")</f>
        <v>99322259</v>
      </c>
      <c r="D45" s="162" t="str">
        <f>VLOOKUP(VLOOKUP(A45,DB_Locations!A:B,2,FALSE),DB_Patients!A:J,10,FALSE)&amp;" ("&amp;VLOOKUP(VLOOKUP(A45,DB_Locations!A:B,2,FALSE),DB_Patients!A:K,11,FALSE)&amp;")"</f>
        <v xml:space="preserve"> ()</v>
      </c>
      <c r="E45" s="162" t="str">
        <f>VLOOKUP(VLOOKUP(A45,DB_Locations!A:B,2,FALSE),DB_Patients!A:F,6,FALSE)</f>
        <v>KALAA KBIRA</v>
      </c>
      <c r="F45" s="162" t="str">
        <f>VLOOKUP(VLOOKUP(A45,DB_Locations!A:B,2,FALSE),DB_Patients!A:M,13,FALSE)</f>
        <v>CNAM</v>
      </c>
      <c r="G45" s="162" t="str">
        <f>VLOOKUP(VLOOKUP(A45,DB_Locations!A:B,2,FALSE),DB_Patients!A:L,12,FALSE)</f>
        <v xml:space="preserve">AHMED ABDELGHANI </v>
      </c>
      <c r="H45" s="162" t="str">
        <f>VLOOKUP(A45,DB_Locations!A:F,6,FALSE)</f>
        <v>KARIM</v>
      </c>
      <c r="I45" s="162">
        <f>VLOOKUP(A45,DB_Locations!A:G,7,FALSE)</f>
        <v>0</v>
      </c>
      <c r="J45" s="162" t="str">
        <f>VLOOKUP(VLOOKUP(A45,DB_Locations!A:C,3,FALSE),DB_Appareils!A:B,2,FALSE)</f>
        <v>CONCENTRATEUR O2</v>
      </c>
      <c r="K45" s="161">
        <f>VLOOKUP(A45,DB_Locations!A:D,4,FALSE)</f>
        <v>45304</v>
      </c>
      <c r="L45" s="161" cm="1">
        <f t="array" ref="L45">IF(COUNTIF(DB_Paiements!B:B,A45)=0,"",LOOKUP(2,1/(DB_Paiements!B:B=A45),DB_Paiements!D:D))</f>
        <v>45822</v>
      </c>
      <c r="M45" s="161" cm="1">
        <f t="array" ref="M45">IF(COUNTIF(DB_Paiements!B:B,A45)=0,"",LOOKUP(2,1/(DB_Paiements!B:B=A45),DB_Paiements!E:E))</f>
        <v>45913</v>
      </c>
      <c r="N45" s="162" t="str" cm="1">
        <f t="array" ref="N45">IF(COUNTIF(DB_Paiements!B:B,A45)=0,"",LOOKUP(2,1/(DB_Paiements!B:B=A45),DB_Paiements!G:G))</f>
        <v>CNAM</v>
      </c>
      <c r="O45" s="162" cm="1">
        <f t="array" ref="O45">IF(COUNTIF(DB_Paiements!B:B,A45)=0,"",LOOKUP(2,1/(DB_Paiements!B:B=A45),DB_Paiements!F:F))</f>
        <v>570</v>
      </c>
      <c r="P45" s="160"/>
      <c r="Q45" s="162">
        <f ca="1">IF(M45&lt;&gt;"",TODAY()-M45,"")</f>
        <v>-18</v>
      </c>
      <c r="R45" s="162" t="str">
        <f>VLOOKUP(VLOOKUP(A45,DB_Locations!A:C,3,FALSE),DB_Appareils!A:F,6,FALSE)</f>
        <v>En location</v>
      </c>
      <c r="S45" s="162" t="str">
        <f>VLOOKUP(A45,DB_Locations!A:I,9,FALSE)</f>
        <v>Actif</v>
      </c>
      <c r="T45" s="162"/>
      <c r="U45" s="162"/>
      <c r="V45" s="162"/>
      <c r="W45" s="164"/>
    </row>
    <row r="46" spans="1:26" x14ac:dyDescent="0.25">
      <c r="A46" s="162" t="s">
        <v>1419</v>
      </c>
      <c r="B46" s="162" t="str">
        <f>VLOOKUP(VLOOKUP(A46,DB_Locations!A:B,2,FALSE),DB_Patients!A:B,2,FALSE)</f>
        <v>HAMI ZOUHAIRA</v>
      </c>
      <c r="C46" s="162" t="str">
        <f>VLOOKUP(VLOOKUP(A46,DB_Locations!A:B,2,FALSE),DB_Patients!A:H,8,FALSE)&amp;IF(VLOOKUP(VLOOKUP(A46,DB_Locations!A:B,2,FALSE),DB_Patients!A:I,9,FALSE)&lt;&gt;""," ("&amp;VLOOKUP(VLOOKUP(A46,DB_Locations!A:B,2,FALSE),DB_Patients!A:I,9,FALSE)&amp;")","")</f>
        <v>99322259</v>
      </c>
      <c r="D46" s="162" t="str">
        <f>VLOOKUP(VLOOKUP(A46,DB_Locations!A:B,2,FALSE),DB_Patients!A:J,10,FALSE)&amp;" ("&amp;VLOOKUP(VLOOKUP(A46,DB_Locations!A:B,2,FALSE),DB_Patients!A:K,11,FALSE)&amp;")"</f>
        <v xml:space="preserve"> ()</v>
      </c>
      <c r="E46" s="162" t="str">
        <f>VLOOKUP(VLOOKUP(A46,DB_Locations!A:B,2,FALSE),DB_Patients!A:F,6,FALSE)</f>
        <v>KALAA KBIRA</v>
      </c>
      <c r="F46" s="162" t="str">
        <f>VLOOKUP(VLOOKUP(A46,DB_Locations!A:B,2,FALSE),DB_Patients!A:M,13,FALSE)</f>
        <v>CNAM</v>
      </c>
      <c r="G46" s="162" t="str">
        <f>VLOOKUP(VLOOKUP(A46,DB_Locations!A:B,2,FALSE),DB_Patients!A:L,12,FALSE)</f>
        <v xml:space="preserve">AHMED ABDELGHANI </v>
      </c>
      <c r="H46" s="162" t="str">
        <f>VLOOKUP(A46,DB_Locations!A:F,6,FALSE)</f>
        <v>KARIM</v>
      </c>
      <c r="I46" s="162">
        <f>VLOOKUP(A46,DB_Locations!A:G,7,FALSE)</f>
        <v>0</v>
      </c>
      <c r="J46" s="162" t="str">
        <f>VLOOKUP(VLOOKUP(A46,DB_Locations!A:C,3,FALSE),DB_Appareils!A:B,2,FALSE)</f>
        <v>VNI</v>
      </c>
      <c r="K46" s="161">
        <f>VLOOKUP(A46,DB_Locations!A:D,4,FALSE)</f>
        <v>45304</v>
      </c>
      <c r="L46" s="161" cm="1">
        <f t="array" ref="L46">IF(COUNTIF(DB_Paiements!B:B,A46)=0,"",LOOKUP(2,1/(DB_Paiements!B:B=A46),DB_Paiements!D:D))</f>
        <v>45789</v>
      </c>
      <c r="M46" s="161" cm="1">
        <f t="array" ref="M46">IF(COUNTIF(DB_Paiements!B:B,A46)=0,"",LOOKUP(2,1/(DB_Paiements!B:B=A46),DB_Paiements!E:E))</f>
        <v>45972</v>
      </c>
      <c r="N46" s="162" t="str" cm="1">
        <f t="array" ref="N46">IF(COUNTIF(DB_Paiements!B:B,A46)=0,"",LOOKUP(2,1/(DB_Paiements!B:B=A46),DB_Paiements!G:G))</f>
        <v>CNAM</v>
      </c>
      <c r="O46" s="162" cm="1">
        <f t="array" ref="O46">IF(COUNTIF(DB_Paiements!B:B,A46)=0,"",LOOKUP(2,1/(DB_Paiements!B:B=A46),DB_Paiements!F:F))</f>
        <v>2580</v>
      </c>
      <c r="P46" s="160"/>
      <c r="Q46" s="162">
        <f ca="1">IF(M46&lt;&gt;"",TODAY()-M46,"")</f>
        <v>-77</v>
      </c>
      <c r="R46" s="162" t="str">
        <f>VLOOKUP(VLOOKUP(A46,DB_Locations!A:C,3,FALSE),DB_Appareils!A:F,6,FALSE)</f>
        <v>En location</v>
      </c>
      <c r="S46" s="162" t="str">
        <f>VLOOKUP(A46,DB_Locations!A:I,9,FALSE)</f>
        <v>Actif</v>
      </c>
      <c r="T46" s="162"/>
      <c r="U46" s="162"/>
      <c r="V46" s="162"/>
      <c r="W46" s="164"/>
    </row>
    <row r="47" spans="1:26" hidden="1" x14ac:dyDescent="0.25">
      <c r="A47" s="162" t="s">
        <v>1440</v>
      </c>
      <c r="B47" s="162" t="str">
        <f>VLOOKUP(VLOOKUP(A47,DB_Locations!A:B,2,FALSE),DB_Patients!A:B,2,FALSE)</f>
        <v>LAFI AMOR</v>
      </c>
      <c r="C47" s="162" t="str">
        <f>VLOOKUP(VLOOKUP(A47,DB_Locations!A:B,2,FALSE),DB_Patients!A:H,8,FALSE)&amp;IF(VLOOKUP(VLOOKUP(A47,DB_Locations!A:B,2,FALSE),DB_Patients!A:I,9,FALSE)&lt;&gt;""," ("&amp;VLOOKUP(VLOOKUP(A47,DB_Locations!A:B,2,FALSE),DB_Patients!A:I,9,FALSE)&amp;")","")</f>
        <v>97339611</v>
      </c>
      <c r="D47" s="162" t="str">
        <f>VLOOKUP(VLOOKUP(A47,DB_Locations!A:B,2,FALSE),DB_Patients!A:J,10,FALSE)&amp;" ("&amp;VLOOKUP(VLOOKUP(A47,DB_Locations!A:B,2,FALSE),DB_Patients!A:K,11,FALSE)&amp;")"</f>
        <v>96765028 ()</v>
      </c>
      <c r="E47" s="162"/>
      <c r="F47" s="162" t="str">
        <f>VLOOKUP(VLOOKUP(A47,DB_Locations!A:B,2,FALSE),DB_Patients!A:M,13,FALSE)</f>
        <v>CNAM</v>
      </c>
      <c r="G47" s="162" t="str">
        <f>VLOOKUP(VLOOKUP(A47,DB_Locations!A:B,2,FALSE),DB_Patients!A:L,12,FALSE)</f>
        <v>GARGOURI IMEN</v>
      </c>
      <c r="H47" s="162" t="str">
        <f>VLOOKUP(A47,DB_Locations!A:F,6,FALSE)</f>
        <v>BILEL BOUHLEL</v>
      </c>
      <c r="I47" s="162">
        <f>VLOOKUP(A47,DB_Locations!A:G,7,FALSE)</f>
        <v>0</v>
      </c>
      <c r="J47" s="162" t="str">
        <f>VLOOKUP(VLOOKUP(A47,DB_Locations!A:C,3,FALSE),DB_Appareils!A:B,2,FALSE)</f>
        <v xml:space="preserve">CONCENTRATEUR O2 </v>
      </c>
      <c r="K47" s="161">
        <f>VLOOKUP(A47,DB_Locations!A:D,4,FALSE)</f>
        <v>45728</v>
      </c>
      <c r="L47" s="161" cm="1">
        <f t="array" ref="L47">IF(COUNTIF(DB_Paiements!B:B,A47)=0,"",LOOKUP(2,1/(DB_Paiements!B:B=A47),DB_Paiements!D:D))</f>
        <v>45776</v>
      </c>
      <c r="M47" s="161" cm="1">
        <f t="array" ref="M47">IF(COUNTIF(DB_Paiements!B:B,A47)=0,"",LOOKUP(2,1/(DB_Paiements!B:B=A47),DB_Paiements!E:E))</f>
        <v>45866</v>
      </c>
      <c r="N47" s="162" t="str" cm="1">
        <f t="array" ref="N47">IF(COUNTIF(DB_Paiements!B:B,A47)=0,"",LOOKUP(2,1/(DB_Paiements!B:B=A47),DB_Paiements!G:G))</f>
        <v>CNAM</v>
      </c>
      <c r="O47" s="162" cm="1">
        <f t="array" ref="O47">IF(COUNTIF(DB_Paiements!B:B,A47)=0,"",LOOKUP(2,1/(DB_Paiements!B:B=A47),DB_Paiements!F:F))</f>
        <v>570</v>
      </c>
      <c r="P47" s="161"/>
      <c r="Q47" s="162">
        <f ca="1">IF(M47&lt;&gt;"",TODAY()-M47,"")</f>
        <v>29</v>
      </c>
      <c r="R47" s="162" t="str">
        <f>VLOOKUP(VLOOKUP(A47,DB_Locations!A:C,3,FALSE),DB_Appareils!A:F,6,FALSE)</f>
        <v>En location</v>
      </c>
      <c r="S47" s="162" t="str">
        <f>VLOOKUP(A47,DB_Locations!A:I,9,FALSE)</f>
        <v>RETOUR</v>
      </c>
      <c r="T47" s="162"/>
      <c r="U47" s="162"/>
      <c r="V47" s="162"/>
      <c r="W47" s="164"/>
    </row>
    <row r="48" spans="1:26" hidden="1" x14ac:dyDescent="0.25">
      <c r="A48" s="162" t="s">
        <v>1441</v>
      </c>
      <c r="B48" s="162" t="str">
        <f>VLOOKUP(VLOOKUP(A48,DB_Locations!A:B,2,FALSE),DB_Patients!A:B,2,FALSE)</f>
        <v>LAFI AMOR</v>
      </c>
      <c r="C48" s="162" t="str">
        <f>VLOOKUP(VLOOKUP(A48,DB_Locations!A:B,2,FALSE),DB_Patients!A:H,8,FALSE)&amp;IF(VLOOKUP(VLOOKUP(A48,DB_Locations!A:B,2,FALSE),DB_Patients!A:I,9,FALSE)&lt;&gt;""," ("&amp;VLOOKUP(VLOOKUP(A48,DB_Locations!A:B,2,FALSE),DB_Patients!A:I,9,FALSE)&amp;")","")</f>
        <v>97339611</v>
      </c>
      <c r="D48" s="162" t="str">
        <f>VLOOKUP(VLOOKUP(A48,DB_Locations!A:B,2,FALSE),DB_Patients!A:J,10,FALSE)&amp;" ("&amp;VLOOKUP(VLOOKUP(A48,DB_Locations!A:B,2,FALSE),DB_Patients!A:K,11,FALSE)&amp;")"</f>
        <v>96765028 ()</v>
      </c>
      <c r="E48" s="162"/>
      <c r="F48" s="162" t="str">
        <f>VLOOKUP(VLOOKUP(A48,DB_Locations!A:B,2,FALSE),DB_Patients!A:M,13,FALSE)</f>
        <v>CNAM</v>
      </c>
      <c r="G48" s="162" t="str">
        <f>VLOOKUP(VLOOKUP(A48,DB_Locations!A:B,2,FALSE),DB_Patients!A:L,12,FALSE)</f>
        <v>GARGOURI IMEN</v>
      </c>
      <c r="H48" s="162" t="str">
        <f>VLOOKUP(A48,DB_Locations!A:F,6,FALSE)</f>
        <v>BILEL BOUHLEL</v>
      </c>
      <c r="I48" s="162">
        <f>VLOOKUP(A48,DB_Locations!A:G,7,FALSE)</f>
        <v>0</v>
      </c>
      <c r="J48" s="162" t="str">
        <f>VLOOKUP(VLOOKUP(A48,DB_Locations!A:C,3,FALSE),DB_Appareils!A:B,2,FALSE)</f>
        <v>VNI</v>
      </c>
      <c r="K48" s="161">
        <f>VLOOKUP(A48,DB_Locations!A:D,4,FALSE)</f>
        <v>45728</v>
      </c>
      <c r="L48" s="161" cm="1">
        <f t="array" ref="L48">IF(COUNTIF(DB_Paiements!B:B,A48)=0,"",LOOKUP(2,1/(DB_Paiements!B:B=A48),DB_Paiements!D:D))</f>
        <v>45751</v>
      </c>
      <c r="M48" s="161" cm="1">
        <f t="array" ref="M48">IF(COUNTIF(DB_Paiements!B:B,A48)=0,"",LOOKUP(2,1/(DB_Paiements!B:B=A48),DB_Paiements!E:E))</f>
        <v>45933</v>
      </c>
      <c r="N48" s="162" t="str" cm="1">
        <f t="array" ref="N48">IF(COUNTIF(DB_Paiements!B:B,A48)=0,"",LOOKUP(2,1/(DB_Paiements!B:B=A48),DB_Paiements!G:G))</f>
        <v>CNAM</v>
      </c>
      <c r="O48" s="162" cm="1">
        <f t="array" ref="O48">IF(COUNTIF(DB_Paiements!B:B,A48)=0,"",LOOKUP(2,1/(DB_Paiements!B:B=A48),DB_Paiements!F:F))</f>
        <v>2580</v>
      </c>
      <c r="P48" s="161"/>
      <c r="Q48" s="162">
        <f ca="1">IF(M48&lt;&gt;"",TODAY()-M48,"")</f>
        <v>-38</v>
      </c>
      <c r="R48" s="162" t="str">
        <f>VLOOKUP(VLOOKUP(A48,DB_Locations!A:C,3,FALSE),DB_Appareils!A:F,6,FALSE)</f>
        <v>En location</v>
      </c>
      <c r="S48" s="162" t="str">
        <f>VLOOKUP(A48,DB_Locations!A:I,9,FALSE)</f>
        <v>RETOUR</v>
      </c>
      <c r="T48" s="162"/>
      <c r="U48" s="162"/>
      <c r="V48" s="162"/>
      <c r="W48" s="164"/>
    </row>
    <row r="49" spans="1:23" x14ac:dyDescent="0.25">
      <c r="A49" s="162" t="s">
        <v>1422</v>
      </c>
      <c r="B49" s="162" t="str">
        <f>VLOOKUP(VLOOKUP(A49,DB_Locations!A:B,2,FALSE),DB_Patients!A:B,2,FALSE)</f>
        <v>ZAGHDENE MOUNIR</v>
      </c>
      <c r="C49" s="162" t="str">
        <f>VLOOKUP(VLOOKUP(A49,DB_Locations!A:B,2,FALSE),DB_Patients!A:H,8,FALSE)&amp;IF(VLOOKUP(VLOOKUP(A49,DB_Locations!A:B,2,FALSE),DB_Patients!A:I,9,FALSE)&lt;&gt;""," ("&amp;VLOOKUP(VLOOKUP(A49,DB_Locations!A:B,2,FALSE),DB_Patients!A:I,9,FALSE)&amp;")","")</f>
        <v>25011589 (SA FEMME)</v>
      </c>
      <c r="D49" s="162" t="str">
        <f>VLOOKUP(VLOOKUP(A49,DB_Locations!A:B,2,FALSE),DB_Patients!A:J,10,FALSE)&amp;" ("&amp;VLOOKUP(VLOOKUP(A49,DB_Locations!A:B,2,FALSE),DB_Patients!A:K,11,FALSE)&amp;")"</f>
        <v>96687972 (MOUNIR)</v>
      </c>
      <c r="E49" s="162" t="str">
        <f>VLOOKUP(VLOOKUP(A49,DB_Locations!A:B,2,FALSE),DB_Patients!A:F,6,FALSE)</f>
        <v>NABEUL</v>
      </c>
      <c r="F49" s="162" t="str">
        <f>VLOOKUP(VLOOKUP(A49,DB_Locations!A:B,2,FALSE),DB_Patients!A:M,13,FALSE)</f>
        <v>CNAM</v>
      </c>
      <c r="G49" s="162" t="str">
        <f>VLOOKUP(VLOOKUP(A49,DB_Locations!A:B,2,FALSE),DB_Patients!A:L,12,FALSE)</f>
        <v>SOPHIA BOUSNINA FEKIH</v>
      </c>
      <c r="H49" s="162" t="str">
        <f>VLOOKUP(A49,DB_Locations!A:F,6,FALSE)</f>
        <v>BILEL BOUHLEL</v>
      </c>
      <c r="I49" s="162">
        <f>VLOOKUP(A49,DB_Locations!A:G,7,FALSE)</f>
        <v>0</v>
      </c>
      <c r="J49" s="162" t="str">
        <f>VLOOKUP(VLOOKUP(A49,DB_Locations!A:C,3,FALSE),DB_Appareils!A:B,2,FALSE)</f>
        <v>CONCENTRATEUR O2  10L</v>
      </c>
      <c r="K49" s="161">
        <f>VLOOKUP(A49,DB_Locations!A:D,4,FALSE)</f>
        <v>45584</v>
      </c>
      <c r="L49" s="161" cm="1">
        <f t="array" ref="L49">IF(COUNTIF(DB_Paiements!B:B,A49)=0,"",LOOKUP(2,1/(DB_Paiements!B:B=A49),DB_Paiements!D:D))</f>
        <v>45860</v>
      </c>
      <c r="M49" s="161" cm="1">
        <f t="array" ref="M49">IF(COUNTIF(DB_Paiements!B:B,A49)=0,"",LOOKUP(2,1/(DB_Paiements!B:B=A49),DB_Paiements!E:E))</f>
        <v>45951</v>
      </c>
      <c r="N49" s="162" t="str" cm="1">
        <f t="array" ref="N49">IF(COUNTIF(DB_Paiements!B:B,A49)=0,"",LOOKUP(2,1/(DB_Paiements!B:B=A49),DB_Paiements!G:G))</f>
        <v>ESPECE</v>
      </c>
      <c r="O49" s="162" cm="1">
        <f t="array" ref="O49">IF(COUNTIF(DB_Paiements!B:B,A49)=0,"",LOOKUP(2,1/(DB_Paiements!B:B=A49),DB_Paiements!F:F))</f>
        <v>0</v>
      </c>
      <c r="P49" s="160">
        <v>45899</v>
      </c>
      <c r="Q49" s="162">
        <f ca="1">IF(M49&lt;&gt;"",TODAY()-M49,"")</f>
        <v>-56</v>
      </c>
      <c r="R49" s="162" t="str">
        <f>VLOOKUP(VLOOKUP(A49,DB_Locations!A:C,3,FALSE),DB_Appareils!A:F,6,FALSE)</f>
        <v>En location</v>
      </c>
      <c r="S49" s="162" t="str">
        <f>VLOOKUP(A49,DB_Locations!A:I,9,FALSE)</f>
        <v>Actif</v>
      </c>
      <c r="T49" s="162"/>
      <c r="U49" s="162"/>
      <c r="V49" s="164" t="str">
        <f ca="1">IF(U49&lt;&gt;"",TODAY()-U49,"")</f>
        <v/>
      </c>
      <c r="W49" s="164" t="s">
        <v>2491</v>
      </c>
    </row>
    <row r="50" spans="1:23" x14ac:dyDescent="0.25">
      <c r="A50" s="162" t="s">
        <v>1482</v>
      </c>
      <c r="B50" s="162" t="str">
        <f>VLOOKUP(VLOOKUP(A50,DB_Locations!A:B,2,FALSE),DB_Patients!A:B,2,FALSE)</f>
        <v>KHELIFA RIDHA</v>
      </c>
      <c r="C50" s="162" t="str">
        <f>VLOOKUP(VLOOKUP(A50,DB_Locations!A:B,2,FALSE),DB_Patients!A:H,8,FALSE)&amp;IF(VLOOKUP(VLOOKUP(A50,DB_Locations!A:B,2,FALSE),DB_Patients!A:I,9,FALSE)&lt;&gt;""," ("&amp;VLOOKUP(VLOOKUP(A50,DB_Locations!A:B,2,FALSE),DB_Patients!A:I,9,FALSE)&amp;")","")</f>
        <v>96177435</v>
      </c>
      <c r="D50" s="162" t="str">
        <f>VLOOKUP(VLOOKUP(A50,DB_Locations!A:B,2,FALSE),DB_Patients!A:J,10,FALSE)&amp;" ("&amp;VLOOKUP(VLOOKUP(A50,DB_Locations!A:B,2,FALSE),DB_Patients!A:K,11,FALSE)&amp;")"</f>
        <v>98827670 ()</v>
      </c>
      <c r="E50" s="162" t="str">
        <f>VLOOKUP(VLOOKUP(A50,DB_Locations!A:B,2,FALSE),DB_Patients!A:F,6,FALSE)</f>
        <v>BOUHSINA</v>
      </c>
      <c r="F50" s="162" t="str">
        <f>VLOOKUP(VLOOKUP(A50,DB_Locations!A:B,2,FALSE),DB_Patients!A:M,13,FALSE)</f>
        <v>CNAM</v>
      </c>
      <c r="G50" s="162" t="str">
        <f>VLOOKUP(VLOOKUP(A50,DB_Locations!A:B,2,FALSE),DB_Patients!A:L,12,FALSE)</f>
        <v>GARGOURI IMEN</v>
      </c>
      <c r="H50" s="162" t="str">
        <f>VLOOKUP(A50,DB_Locations!A:F,6,FALSE)</f>
        <v>KARIM</v>
      </c>
      <c r="I50" s="162">
        <f>VLOOKUP(A50,DB_Locations!A:G,7,FALSE)</f>
        <v>0</v>
      </c>
      <c r="J50" s="162" t="str">
        <f>VLOOKUP(VLOOKUP(A50,DB_Locations!A:C,3,FALSE),DB_Appareils!A:B,2,FALSE)</f>
        <v>VNI</v>
      </c>
      <c r="K50" s="161">
        <f>VLOOKUP(A50,DB_Locations!A:D,4,FALSE)</f>
        <v>43964</v>
      </c>
      <c r="L50" s="161" cm="1">
        <f t="array" ref="L50">IF(COUNTIF(DB_Paiements!B:B,A50)=0,"",LOOKUP(2,1/(DB_Paiements!B:B=A50),DB_Paiements!D:D))</f>
        <v>45849</v>
      </c>
      <c r="M50" s="161" cm="1">
        <f t="array" ref="M50">IF(COUNTIF(DB_Paiements!B:B,A50)=0,"",LOOKUP(2,1/(DB_Paiements!B:B=A50),DB_Paiements!E:E))</f>
        <v>46032</v>
      </c>
      <c r="N50" s="162" t="str" cm="1">
        <f t="array" ref="N50">IF(COUNTIF(DB_Paiements!B:B,A50)=0,"",LOOKUP(2,1/(DB_Paiements!B:B=A50),DB_Paiements!G:G))</f>
        <v>CNAM</v>
      </c>
      <c r="O50" s="162" cm="1">
        <f t="array" ref="O50">IF(COUNTIF(DB_Paiements!B:B,A50)=0,"",LOOKUP(2,1/(DB_Paiements!B:B=A50),DB_Paiements!F:F))</f>
        <v>2580</v>
      </c>
      <c r="P50" s="160"/>
      <c r="Q50" s="162">
        <f ca="1">IF(M50&lt;&gt;"",TODAY()-M50,"")</f>
        <v>-137</v>
      </c>
      <c r="R50" s="162" t="str">
        <f>VLOOKUP(VLOOKUP(A50,DB_Locations!A:C,3,FALSE),DB_Appareils!A:F,6,FALSE)</f>
        <v>En location</v>
      </c>
      <c r="S50" s="162" t="str">
        <f>VLOOKUP(A50,DB_Locations!A:I,9,FALSE)</f>
        <v>Actif</v>
      </c>
      <c r="T50" s="162" t="s">
        <v>2329</v>
      </c>
      <c r="U50" s="162"/>
      <c r="V50" s="162"/>
      <c r="W50" s="164" t="s">
        <v>2462</v>
      </c>
    </row>
    <row r="51" spans="1:23" x14ac:dyDescent="0.25">
      <c r="A51" s="162" t="s">
        <v>1412</v>
      </c>
      <c r="B51" s="162" t="str">
        <f>VLOOKUP(VLOOKUP(A51,DB_Locations!A:B,2,FALSE),DB_Patients!A:B,2,FALSE)</f>
        <v>JAIDI HOURIA</v>
      </c>
      <c r="C51" s="162" t="str">
        <f>VLOOKUP(VLOOKUP(A51,DB_Locations!A:B,2,FALSE),DB_Patients!A:H,8,FALSE)&amp;IF(VLOOKUP(VLOOKUP(A51,DB_Locations!A:B,2,FALSE),DB_Patients!A:I,9,FALSE)&lt;&gt;""," ("&amp;VLOOKUP(VLOOKUP(A51,DB_Locations!A:B,2,FALSE),DB_Patients!A:I,9,FALSE)&amp;")","")</f>
        <v>94026780 (94239619 SON MARI)</v>
      </c>
      <c r="D51" s="162" t="str">
        <f>VLOOKUP(VLOOKUP(A51,DB_Locations!A:B,2,FALSE),DB_Patients!A:J,10,FALSE)&amp;" ("&amp;VLOOKUP(VLOOKUP(A51,DB_Locations!A:B,2,FALSE),DB_Patients!A:K,11,FALSE)&amp;")"</f>
        <v>96320004 FILS ()</v>
      </c>
      <c r="E51" s="162" t="str">
        <f>VLOOKUP(VLOOKUP(A51,DB_Locations!A:B,2,FALSE),DB_Patients!A:F,6,FALSE)</f>
        <v>CITE EZZOUHOUR</v>
      </c>
      <c r="F51" s="162" t="str">
        <f>VLOOKUP(VLOOKUP(A51,DB_Locations!A:B,2,FALSE),DB_Patients!A:M,13,FALSE)</f>
        <v>CNAM</v>
      </c>
      <c r="G51" s="162" t="str">
        <f>VLOOKUP(VLOOKUP(A51,DB_Locations!A:B,2,FALSE),DB_Patients!A:L,12,FALSE)</f>
        <v>GARGOURI IMEN</v>
      </c>
      <c r="H51" s="162" t="str">
        <f>VLOOKUP(A51,DB_Locations!A:F,6,FALSE)</f>
        <v>KARIM</v>
      </c>
      <c r="I51" s="162">
        <f>VLOOKUP(A51,DB_Locations!A:G,7,FALSE)</f>
        <v>0</v>
      </c>
      <c r="J51" s="162" t="str">
        <f>VLOOKUP(VLOOKUP(A51,DB_Locations!A:C,3,FALSE),DB_Appareils!A:B,2,FALSE)</f>
        <v>CONCENTRATEUR O2</v>
      </c>
      <c r="K51" s="161">
        <f>VLOOKUP(A51,DB_Locations!A:D,4,FALSE)</f>
        <v>45266</v>
      </c>
      <c r="L51" s="161" cm="1">
        <f t="array" ref="L51">IF(COUNTIF(DB_Paiements!B:B,A51)=0,"",LOOKUP(2,1/(DB_Paiements!B:B=A51),DB_Paiements!D:D))</f>
        <v>45803</v>
      </c>
      <c r="M51" s="161" cm="1">
        <f t="array" ref="M51">IF(COUNTIF(DB_Paiements!B:B,A51)=0,"",LOOKUP(2,1/(DB_Paiements!B:B=A51),DB_Paiements!E:E))</f>
        <v>45894</v>
      </c>
      <c r="N51" s="162" t="str" cm="1">
        <f t="array" ref="N51">IF(COUNTIF(DB_Paiements!B:B,A51)=0,"",LOOKUP(2,1/(DB_Paiements!B:B=A51),DB_Paiements!G:G))</f>
        <v>CNAM</v>
      </c>
      <c r="O51" s="162" cm="1">
        <f t="array" ref="O51">IF(COUNTIF(DB_Paiements!B:B,A51)=0,"",LOOKUP(2,1/(DB_Paiements!B:B=A51),DB_Paiements!F:F))</f>
        <v>570</v>
      </c>
      <c r="P51" s="160">
        <v>45895</v>
      </c>
      <c r="Q51" s="162">
        <f ca="1">IF(M51&lt;&gt;"",TODAY()-M51,"")</f>
        <v>1</v>
      </c>
      <c r="R51" s="162" t="str">
        <f>VLOOKUP(VLOOKUP(A51,DB_Locations!A:C,3,FALSE),DB_Appareils!A:F,6,FALSE)</f>
        <v xml:space="preserve">En location </v>
      </c>
      <c r="S51" s="162" t="str">
        <f>VLOOKUP(A51,DB_Locations!A:I,9,FALSE)</f>
        <v>Actif</v>
      </c>
      <c r="T51" s="162"/>
      <c r="U51" s="162"/>
      <c r="V51" s="164" t="str">
        <f ca="1">IF(U51&lt;&gt;"",TODAY()-U51,"")</f>
        <v/>
      </c>
      <c r="W51" s="164" t="s">
        <v>2450</v>
      </c>
    </row>
    <row r="52" spans="1:23" x14ac:dyDescent="0.25">
      <c r="A52" s="162" t="s">
        <v>1425</v>
      </c>
      <c r="B52" s="162" t="str">
        <f>VLOOKUP(VLOOKUP(A52,DB_Locations!A:B,2,FALSE),DB_Patients!A:B,2,FALSE)</f>
        <v>ZBIBA MAHMOUD BEN MHAMED</v>
      </c>
      <c r="C52" s="162" t="str">
        <f>VLOOKUP(VLOOKUP(A52,DB_Locations!A:B,2,FALSE),DB_Patients!A:H,8,FALSE)&amp;IF(VLOOKUP(VLOOKUP(A52,DB_Locations!A:B,2,FALSE),DB_Patients!A:I,9,FALSE)&lt;&gt;""," ("&amp;VLOOKUP(VLOOKUP(A52,DB_Locations!A:B,2,FALSE),DB_Patients!A:I,9,FALSE)&amp;")","")</f>
        <v>97999947 (53124208)</v>
      </c>
      <c r="D52" s="162" t="str">
        <f>VLOOKUP(VLOOKUP(A52,DB_Locations!A:B,2,FALSE),DB_Patients!A:J,10,FALSE)&amp;" ("&amp;VLOOKUP(VLOOKUP(A52,DB_Locations!A:B,2,FALSE),DB_Patients!A:K,11,FALSE)&amp;")"</f>
        <v>27824610 ()</v>
      </c>
      <c r="E52" s="162" t="str">
        <f>VLOOKUP(VLOOKUP(A52,DB_Locations!A:B,2,FALSE),DB_Patients!A:F,6,FALSE)</f>
        <v>BEKALTA</v>
      </c>
      <c r="F52" s="162" t="str">
        <f>VLOOKUP(VLOOKUP(A52,DB_Locations!A:B,2,FALSE),DB_Patients!A:M,13,FALSE)</f>
        <v>CNAM</v>
      </c>
      <c r="G52" s="162" t="str">
        <f>VLOOKUP(VLOOKUP(A52,DB_Locations!A:B,2,FALSE),DB_Patients!A:L,12,FALSE)</f>
        <v>NABIL OMEZZINE</v>
      </c>
      <c r="H52" s="162" t="str">
        <f>VLOOKUP(A52,DB_Locations!A:F,6,FALSE)</f>
        <v>KARIM</v>
      </c>
      <c r="I52" s="162">
        <f>VLOOKUP(A52,DB_Locations!A:G,7,FALSE)</f>
        <v>0</v>
      </c>
      <c r="J52" s="162" t="str">
        <f>VLOOKUP(VLOOKUP(A52,DB_Locations!A:C,3,FALSE),DB_Appareils!A:B,2,FALSE)</f>
        <v>CONCENTRATEUR O2</v>
      </c>
      <c r="K52" s="161">
        <f>VLOOKUP(A52,DB_Locations!A:D,4,FALSE)</f>
        <v>45615</v>
      </c>
      <c r="L52" s="161" cm="1">
        <f t="array" ref="L52">IF(COUNTIF(DB_Paiements!B:B,A52)=0,"",LOOKUP(2,1/(DB_Paiements!B:B=A52),DB_Paiements!D:D))</f>
        <v>45811</v>
      </c>
      <c r="M52" s="161" cm="1">
        <f t="array" ref="M52">IF(COUNTIF(DB_Paiements!B:B,A52)=0,"",LOOKUP(2,1/(DB_Paiements!B:B=A52),DB_Paiements!E:E))</f>
        <v>45840</v>
      </c>
      <c r="N52" s="162" t="str" cm="1">
        <f t="array" ref="N52">IF(COUNTIF(DB_Paiements!B:B,A52)=0,"",LOOKUP(2,1/(DB_Paiements!B:B=A52),DB_Paiements!G:G))</f>
        <v>CNAM</v>
      </c>
      <c r="O52" s="162" cm="1">
        <f t="array" ref="O52">IF(COUNTIF(DB_Paiements!B:B,A52)=0,"",LOOKUP(2,1/(DB_Paiements!B:B=A52),DB_Paiements!F:F))</f>
        <v>190</v>
      </c>
      <c r="P52" s="160"/>
      <c r="Q52" s="162">
        <f ca="1">IF(M52&lt;&gt;"",TODAY()-M52,"")</f>
        <v>55</v>
      </c>
      <c r="R52" s="162" t="str">
        <f>VLOOKUP(VLOOKUP(A52,DB_Locations!A:C,3,FALSE),DB_Appareils!A:F,6,FALSE)</f>
        <v>En location</v>
      </c>
      <c r="S52" s="162" t="str">
        <f>VLOOKUP(A52,DB_Locations!A:I,9,FALSE)</f>
        <v>Actif</v>
      </c>
      <c r="T52" s="162"/>
      <c r="U52" s="162"/>
      <c r="V52" s="164" t="str">
        <f ca="1">IF(U52&lt;&gt;"",TODAY()-U52,"")</f>
        <v/>
      </c>
      <c r="W52" s="164"/>
    </row>
    <row r="53" spans="1:23" x14ac:dyDescent="0.25">
      <c r="A53" s="162" t="s">
        <v>1426</v>
      </c>
      <c r="B53" s="162" t="str">
        <f>VLOOKUP(VLOOKUP(A53,DB_Locations!A:B,2,FALSE),DB_Patients!A:B,2,FALSE)</f>
        <v>ZBIBA MAHMOUD BEN MHAMED</v>
      </c>
      <c r="C53" s="162" t="str">
        <f>VLOOKUP(VLOOKUP(A53,DB_Locations!A:B,2,FALSE),DB_Patients!A:H,8,FALSE)&amp;IF(VLOOKUP(VLOOKUP(A53,DB_Locations!A:B,2,FALSE),DB_Patients!A:I,9,FALSE)&lt;&gt;""," ("&amp;VLOOKUP(VLOOKUP(A53,DB_Locations!A:B,2,FALSE),DB_Patients!A:I,9,FALSE)&amp;")","")</f>
        <v>97999947 (53124208)</v>
      </c>
      <c r="D53" s="162" t="str">
        <f>VLOOKUP(VLOOKUP(A53,DB_Locations!A:B,2,FALSE),DB_Patients!A:J,10,FALSE)&amp;" ("&amp;VLOOKUP(VLOOKUP(A53,DB_Locations!A:B,2,FALSE),DB_Patients!A:K,11,FALSE)&amp;")"</f>
        <v>27824610 ()</v>
      </c>
      <c r="E53" s="162" t="str">
        <f>VLOOKUP(VLOOKUP(A53,DB_Locations!A:B,2,FALSE),DB_Patients!A:F,6,FALSE)</f>
        <v>BEKALTA</v>
      </c>
      <c r="F53" s="162" t="str">
        <f>VLOOKUP(VLOOKUP(A53,DB_Locations!A:B,2,FALSE),DB_Patients!A:M,13,FALSE)</f>
        <v>CNAM</v>
      </c>
      <c r="G53" s="162" t="str">
        <f>VLOOKUP(VLOOKUP(A53,DB_Locations!A:B,2,FALSE),DB_Patients!A:L,12,FALSE)</f>
        <v>NABIL OMEZZINE</v>
      </c>
      <c r="H53" s="162" t="str">
        <f>VLOOKUP(A53,DB_Locations!A:F,6,FALSE)</f>
        <v>KARIM</v>
      </c>
      <c r="I53" s="162">
        <f>VLOOKUP(A53,DB_Locations!A:G,7,FALSE)</f>
        <v>0</v>
      </c>
      <c r="J53" s="162" t="str">
        <f>VLOOKUP(VLOOKUP(A53,DB_Locations!A:C,3,FALSE),DB_Appareils!A:B,2,FALSE)</f>
        <v>VNI + BOUTEUIL APP0190</v>
      </c>
      <c r="K53" s="161">
        <f>VLOOKUP(A53,DB_Locations!A:D,4,FALSE)</f>
        <v>45615</v>
      </c>
      <c r="L53" s="161" cm="1">
        <f t="array" ref="L53">IF(COUNTIF(DB_Paiements!B:B,A53)=0,"",LOOKUP(2,1/(DB_Paiements!B:B=A53),DB_Paiements!D:D))</f>
        <v>45679</v>
      </c>
      <c r="M53" s="161" cm="1">
        <f t="array" ref="M53">IF(COUNTIF(DB_Paiements!B:B,A53)=0,"",LOOKUP(2,1/(DB_Paiements!B:B=A53),DB_Paiements!E:E))</f>
        <v>45860</v>
      </c>
      <c r="N53" s="162" t="str" cm="1">
        <f t="array" ref="N53">IF(COUNTIF(DB_Paiements!B:B,A53)=0,"",LOOKUP(2,1/(DB_Paiements!B:B=A53),DB_Paiements!G:G))</f>
        <v>CNAM</v>
      </c>
      <c r="O53" s="162" cm="1">
        <f t="array" ref="O53">IF(COUNTIF(DB_Paiements!B:B,A53)=0,"",LOOKUP(2,1/(DB_Paiements!B:B=A53),DB_Paiements!F:F))</f>
        <v>2580</v>
      </c>
      <c r="P53" s="160"/>
      <c r="Q53" s="162">
        <f ca="1">IF(M53&lt;&gt;"",TODAY()-M53,"")</f>
        <v>35</v>
      </c>
      <c r="R53" s="162" t="str">
        <f>VLOOKUP(VLOOKUP(A53,DB_Locations!A:C,3,FALSE),DB_Appareils!A:F,6,FALSE)</f>
        <v>En location</v>
      </c>
      <c r="S53" s="162" t="str">
        <f>VLOOKUP(A53,DB_Locations!A:I,9,FALSE)</f>
        <v>Actif</v>
      </c>
      <c r="T53" s="162"/>
      <c r="U53" s="162"/>
      <c r="V53" s="164" t="str">
        <f ca="1">IF(U53&lt;&gt;"",TODAY()-U53,"")</f>
        <v/>
      </c>
      <c r="W53" s="164"/>
    </row>
    <row r="54" spans="1:23" x14ac:dyDescent="0.25">
      <c r="A54" s="162" t="s">
        <v>1413</v>
      </c>
      <c r="B54" s="162" t="str">
        <f>VLOOKUP(VLOOKUP(A54,DB_Locations!A:B,2,FALSE),DB_Patients!A:B,2,FALSE)</f>
        <v>JAIDI HOURIA</v>
      </c>
      <c r="C54" s="162" t="str">
        <f>VLOOKUP(VLOOKUP(A54,DB_Locations!A:B,2,FALSE),DB_Patients!A:H,8,FALSE)&amp;IF(VLOOKUP(VLOOKUP(A54,DB_Locations!A:B,2,FALSE),DB_Patients!A:I,9,FALSE)&lt;&gt;""," ("&amp;VLOOKUP(VLOOKUP(A54,DB_Locations!A:B,2,FALSE),DB_Patients!A:I,9,FALSE)&amp;")","")</f>
        <v>94026780 (94239619 SON MARI)</v>
      </c>
      <c r="D54" s="162" t="str">
        <f>VLOOKUP(VLOOKUP(A54,DB_Locations!A:B,2,FALSE),DB_Patients!A:J,10,FALSE)&amp;" ("&amp;VLOOKUP(VLOOKUP(A54,DB_Locations!A:B,2,FALSE),DB_Patients!A:K,11,FALSE)&amp;")"</f>
        <v>96320004 FILS ()</v>
      </c>
      <c r="E54" s="162" t="str">
        <f>VLOOKUP(VLOOKUP(A54,DB_Locations!A:B,2,FALSE),DB_Patients!A:F,6,FALSE)</f>
        <v>CITE EZZOUHOUR</v>
      </c>
      <c r="F54" s="162" t="str">
        <f>VLOOKUP(VLOOKUP(A54,DB_Locations!A:B,2,FALSE),DB_Patients!A:M,13,FALSE)</f>
        <v>CNAM</v>
      </c>
      <c r="G54" s="162" t="str">
        <f>VLOOKUP(VLOOKUP(A54,DB_Locations!A:B,2,FALSE),DB_Patients!A:L,12,FALSE)</f>
        <v>GARGOURI IMEN</v>
      </c>
      <c r="H54" s="162" t="str">
        <f>VLOOKUP(A54,DB_Locations!A:F,6,FALSE)</f>
        <v>KARIM</v>
      </c>
      <c r="I54" s="162">
        <f>VLOOKUP(A54,DB_Locations!A:G,7,FALSE)</f>
        <v>0</v>
      </c>
      <c r="J54" s="162" t="str">
        <f>VLOOKUP(VLOOKUP(A54,DB_Locations!A:C,3,FALSE),DB_Appareils!A:B,2,FALSE)</f>
        <v>VNI</v>
      </c>
      <c r="K54" s="161">
        <f>VLOOKUP(A54,DB_Locations!A:D,4,FALSE)</f>
        <v>43243</v>
      </c>
      <c r="L54" s="161" cm="1">
        <f t="array" ref="L54">IF(COUNTIF(DB_Paiements!B:B,A54)=0,"",LOOKUP(2,1/(DB_Paiements!B:B=A54),DB_Paiements!D:D))</f>
        <v>45811</v>
      </c>
      <c r="M54" s="161" cm="1">
        <f t="array" ref="M54">IF(COUNTIF(DB_Paiements!B:B,A54)=0,"",LOOKUP(2,1/(DB_Paiements!B:B=A54),DB_Paiements!E:E))</f>
        <v>45993</v>
      </c>
      <c r="N54" s="162" t="str" cm="1">
        <f t="array" ref="N54">IF(COUNTIF(DB_Paiements!B:B,A54)=0,"",LOOKUP(2,1/(DB_Paiements!B:B=A54),DB_Paiements!G:G))</f>
        <v>CNAM</v>
      </c>
      <c r="O54" s="162" cm="1">
        <f t="array" ref="O54">IF(COUNTIF(DB_Paiements!B:B,A54)=0,"",LOOKUP(2,1/(DB_Paiements!B:B=A54),DB_Paiements!F:F))</f>
        <v>2580</v>
      </c>
      <c r="P54" s="160">
        <v>45989</v>
      </c>
      <c r="Q54" s="162">
        <f ca="1">IF(M54&lt;&gt;"",TODAY()-M54,"")</f>
        <v>-98</v>
      </c>
      <c r="R54" s="162" t="str">
        <f>VLOOKUP(VLOOKUP(A54,DB_Locations!A:C,3,FALSE),DB_Appareils!A:F,6,FALSE)</f>
        <v xml:space="preserve">En location </v>
      </c>
      <c r="S54" s="162" t="str">
        <f>VLOOKUP(A54,DB_Locations!A:I,9,FALSE)</f>
        <v>Actif</v>
      </c>
      <c r="T54" s="162"/>
      <c r="U54" s="162"/>
      <c r="V54" s="162"/>
      <c r="W54" s="164"/>
    </row>
    <row r="55" spans="1:23" x14ac:dyDescent="0.25">
      <c r="A55" s="162" t="s">
        <v>1423</v>
      </c>
      <c r="B55" s="162" t="str">
        <f>VLOOKUP(VLOOKUP(A55,DB_Locations!A:B,2,FALSE),DB_Patients!A:B,2,FALSE)</f>
        <v>HICHERI AJMI</v>
      </c>
      <c r="C55" s="162" t="str">
        <f>VLOOKUP(VLOOKUP(A55,DB_Locations!A:B,2,FALSE),DB_Patients!A:H,8,FALSE)&amp;IF(VLOOKUP(VLOOKUP(A55,DB_Locations!A:B,2,FALSE),DB_Patients!A:I,9,FALSE)&lt;&gt;""," ("&amp;VLOOKUP(VLOOKUP(A55,DB_Locations!A:B,2,FALSE),DB_Patients!A:I,9,FALSE)&amp;")","")</f>
        <v>29427014 (98528448)</v>
      </c>
      <c r="D55" s="162" t="str">
        <f>VLOOKUP(VLOOKUP(A55,DB_Locations!A:B,2,FALSE),DB_Patients!A:J,10,FALSE)&amp;" ("&amp;VLOOKUP(VLOOKUP(A55,DB_Locations!A:B,2,FALSE),DB_Patients!A:K,11,FALSE)&amp;")"</f>
        <v>29176726 ()</v>
      </c>
      <c r="E55" s="162" t="str">
        <f>VLOOKUP(VLOOKUP(A55,DB_Locations!A:B,2,FALSE),DB_Patients!A:F,6,FALSE)</f>
        <v>BOUFICHA</v>
      </c>
      <c r="F55" s="162" t="str">
        <f>VLOOKUP(VLOOKUP(A55,DB_Locations!A:B,2,FALSE),DB_Patients!A:M,13,FALSE)</f>
        <v>CNAM</v>
      </c>
      <c r="G55" s="162" t="str">
        <f>VLOOKUP(VLOOKUP(A55,DB_Locations!A:B,2,FALSE),DB_Patients!A:L,12,FALSE)</f>
        <v>GARGOURI IMEN</v>
      </c>
      <c r="H55" s="162" t="str">
        <f>VLOOKUP(A55,DB_Locations!A:F,6,FALSE)</f>
        <v>BILEL BOUHLEL</v>
      </c>
      <c r="I55" s="162">
        <f>VLOOKUP(A55,DB_Locations!A:G,7,FALSE)</f>
        <v>0</v>
      </c>
      <c r="J55" s="162" t="str">
        <f>VLOOKUP(VLOOKUP(A55,DB_Locations!A:C,3,FALSE),DB_Appareils!A:B,2,FALSE)</f>
        <v>CONCENTRATEUR O2</v>
      </c>
      <c r="K55" s="161">
        <f>VLOOKUP(A55,DB_Locations!A:D,4,FALSE)</f>
        <v>45609</v>
      </c>
      <c r="L55" s="161" cm="1">
        <f t="array" ref="L55">IF(COUNTIF(DB_Paiements!B:B,A55)=0,"",LOOKUP(2,1/(DB_Paiements!B:B=A55),DB_Paiements!D:D))</f>
        <v>45803</v>
      </c>
      <c r="M55" s="161" cm="1">
        <f t="array" ref="M55">IF(COUNTIF(DB_Paiements!B:B,A55)=0,"",LOOKUP(2,1/(DB_Paiements!B:B=A55),DB_Paiements!E:E))</f>
        <v>45894</v>
      </c>
      <c r="N55" s="162" t="str" cm="1">
        <f t="array" ref="N55">IF(COUNTIF(DB_Paiements!B:B,A55)=0,"",LOOKUP(2,1/(DB_Paiements!B:B=A55),DB_Paiements!G:G))</f>
        <v>CNAM</v>
      </c>
      <c r="O55" s="162" cm="1">
        <f t="array" ref="O55">IF(COUNTIF(DB_Paiements!B:B,A55)=0,"",LOOKUP(2,1/(DB_Paiements!B:B=A55),DB_Paiements!F:F))</f>
        <v>570</v>
      </c>
      <c r="P55" s="160"/>
      <c r="Q55" s="162">
        <f ca="1">IF(M55&lt;&gt;"",TODAY()-M55,"")</f>
        <v>1</v>
      </c>
      <c r="R55" s="162" t="str">
        <f>VLOOKUP(VLOOKUP(A55,DB_Locations!A:C,3,FALSE),DB_Appareils!A:F,6,FALSE)</f>
        <v>En location</v>
      </c>
      <c r="S55" s="162" t="str">
        <f>VLOOKUP(A55,DB_Locations!A:I,9,FALSE)</f>
        <v>Actif</v>
      </c>
      <c r="T55" s="162"/>
      <c r="U55" s="162"/>
      <c r="V55" s="164" t="str">
        <f ca="1">IF(U55&lt;&gt;"",TODAY()-U55,"")</f>
        <v/>
      </c>
      <c r="W55" s="164"/>
    </row>
    <row r="56" spans="1:23" x14ac:dyDescent="0.25">
      <c r="A56" s="162" t="s">
        <v>1429</v>
      </c>
      <c r="B56" s="162" t="str">
        <f>VLOOKUP(VLOOKUP(A56,DB_Locations!A:B,2,FALSE),DB_Patients!A:B,2,FALSE)</f>
        <v>GHILOUFI MOHAMED AMMAR</v>
      </c>
      <c r="C56" s="162" t="str">
        <f>VLOOKUP(VLOOKUP(A56,DB_Locations!A:B,2,FALSE),DB_Patients!A:H,8,FALSE)&amp;IF(VLOOKUP(VLOOKUP(A56,DB_Locations!A:B,2,FALSE),DB_Patients!A:I,9,FALSE)&lt;&gt;""," ("&amp;VLOOKUP(VLOOKUP(A56,DB_Locations!A:B,2,FALSE),DB_Patients!A:I,9,FALSE)&amp;")","")</f>
        <v>27087295 (IBTISSEM)</v>
      </c>
      <c r="D56" s="162" t="str">
        <f>VLOOKUP(VLOOKUP(A56,DB_Locations!A:B,2,FALSE),DB_Patients!A:J,10,FALSE)&amp;" ("&amp;VLOOKUP(VLOOKUP(A56,DB_Locations!A:B,2,FALSE),DB_Patients!A:K,11,FALSE)&amp;")"</f>
        <v>20389703 (BASSMA)</v>
      </c>
      <c r="E56" s="162" t="str">
        <f>VLOOKUP(VLOOKUP(A56,DB_Locations!A:B,2,FALSE),DB_Patients!A:F,6,FALSE)</f>
        <v>ENFIDHA</v>
      </c>
      <c r="F56" s="162" t="str">
        <f>VLOOKUP(VLOOKUP(A56,DB_Locations!A:B,2,FALSE),DB_Patients!A:M,13,FALSE)</f>
        <v>CNAM</v>
      </c>
      <c r="G56" s="162" t="str">
        <f>VLOOKUP(VLOOKUP(A56,DB_Locations!A:B,2,FALSE),DB_Patients!A:L,12,FALSE)</f>
        <v>ASMA KNAZ</v>
      </c>
      <c r="H56" s="162" t="str">
        <f>VLOOKUP(A56,DB_Locations!A:F,6,FALSE)</f>
        <v>BILEL BOUHLEL</v>
      </c>
      <c r="I56" s="162">
        <f>VLOOKUP(A56,DB_Locations!A:G,7,FALSE)</f>
        <v>0</v>
      </c>
      <c r="J56" s="162" t="str">
        <f>VLOOKUP(VLOOKUP(A56,DB_Locations!A:C,3,FALSE),DB_Appareils!A:B,2,FALSE)</f>
        <v>CONCENTRATEUR O2</v>
      </c>
      <c r="K56" s="161">
        <f>VLOOKUP(A56,DB_Locations!A:D,4,FALSE)</f>
        <v>45686</v>
      </c>
      <c r="L56" s="161" cm="1">
        <f t="array" ref="L56">IF(COUNTIF(DB_Paiements!B:B,A56)=0,"",LOOKUP(2,1/(DB_Paiements!B:B=A56),DB_Paiements!D:D))</f>
        <v>45796</v>
      </c>
      <c r="M56" s="161" cm="1">
        <f t="array" ref="M56">IF(COUNTIF(DB_Paiements!B:B,A56)=0,"",LOOKUP(2,1/(DB_Paiements!B:B=A56),DB_Paiements!E:E))</f>
        <v>45887</v>
      </c>
      <c r="N56" s="162" t="str" cm="1">
        <f t="array" ref="N56">IF(COUNTIF(DB_Paiements!B:B,A56)=0,"",LOOKUP(2,1/(DB_Paiements!B:B=A56),DB_Paiements!G:G))</f>
        <v>CNAM</v>
      </c>
      <c r="O56" s="162" cm="1">
        <f t="array" ref="O56">IF(COUNTIF(DB_Paiements!B:B,A56)=0,"",LOOKUP(2,1/(DB_Paiements!B:B=A56),DB_Paiements!F:F))</f>
        <v>570</v>
      </c>
      <c r="P56" s="160"/>
      <c r="Q56" s="162">
        <f ca="1">IF(M56&lt;&gt;"",TODAY()-M56,"")</f>
        <v>8</v>
      </c>
      <c r="R56" s="162" t="str">
        <f>VLOOKUP(VLOOKUP(A56,DB_Locations!A:C,3,FALSE),DB_Appareils!A:F,6,FALSE)</f>
        <v>En location</v>
      </c>
      <c r="S56" s="162" t="str">
        <f>VLOOKUP(A56,DB_Locations!A:I,9,FALSE)</f>
        <v>Actif</v>
      </c>
      <c r="T56" s="162"/>
      <c r="U56" s="162"/>
      <c r="V56" s="164" t="str">
        <f ca="1">IF(U56&lt;&gt;"",TODAY()-U56,"")</f>
        <v/>
      </c>
      <c r="W56" s="164"/>
    </row>
    <row r="57" spans="1:23" x14ac:dyDescent="0.25">
      <c r="A57" s="162" t="s">
        <v>1430</v>
      </c>
      <c r="B57" s="162" t="str">
        <f>VLOOKUP(VLOOKUP(A57,DB_Locations!A:B,2,FALSE),DB_Patients!A:B,2,FALSE)</f>
        <v>GHILOUFI MOHAMED AMMAR</v>
      </c>
      <c r="C57" s="162" t="str">
        <f>VLOOKUP(VLOOKUP(A57,DB_Locations!A:B,2,FALSE),DB_Patients!A:H,8,FALSE)&amp;IF(VLOOKUP(VLOOKUP(A57,DB_Locations!A:B,2,FALSE),DB_Patients!A:I,9,FALSE)&lt;&gt;""," ("&amp;VLOOKUP(VLOOKUP(A57,DB_Locations!A:B,2,FALSE),DB_Patients!A:I,9,FALSE)&amp;")","")</f>
        <v>27087295 (IBTISSEM)</v>
      </c>
      <c r="D57" s="162" t="str">
        <f>VLOOKUP(VLOOKUP(A57,DB_Locations!A:B,2,FALSE),DB_Patients!A:J,10,FALSE)&amp;" ("&amp;VLOOKUP(VLOOKUP(A57,DB_Locations!A:B,2,FALSE),DB_Patients!A:K,11,FALSE)&amp;")"</f>
        <v>20389703 (BASSMA)</v>
      </c>
      <c r="E57" s="162" t="str">
        <f>VLOOKUP(VLOOKUP(A57,DB_Locations!A:B,2,FALSE),DB_Patients!A:F,6,FALSE)</f>
        <v>ENFIDHA</v>
      </c>
      <c r="F57" s="162" t="str">
        <f>VLOOKUP(VLOOKUP(A57,DB_Locations!A:B,2,FALSE),DB_Patients!A:M,13,FALSE)</f>
        <v>CNAM</v>
      </c>
      <c r="G57" s="162" t="str">
        <f>VLOOKUP(VLOOKUP(A57,DB_Locations!A:B,2,FALSE),DB_Patients!A:L,12,FALSE)</f>
        <v>ASMA KNAZ</v>
      </c>
      <c r="H57" s="162" t="str">
        <f>VLOOKUP(A57,DB_Locations!A:F,6,FALSE)</f>
        <v>BILEL BOUHLEL</v>
      </c>
      <c r="I57" s="162">
        <f>VLOOKUP(A57,DB_Locations!A:G,7,FALSE)</f>
        <v>0</v>
      </c>
      <c r="J57" s="162" t="str">
        <f>VLOOKUP(VLOOKUP(A57,DB_Locations!A:C,3,FALSE),DB_Appareils!A:B,2,FALSE)</f>
        <v>VNI</v>
      </c>
      <c r="K57" s="161">
        <f>VLOOKUP(A57,DB_Locations!A:D,4,FALSE)</f>
        <v>45686</v>
      </c>
      <c r="L57" s="161" cm="1">
        <f t="array" ref="L57">IF(COUNTIF(DB_Paiements!B:B,A57)=0,"",LOOKUP(2,1/(DB_Paiements!B:B=A57),DB_Paiements!D:D))</f>
        <v>45687</v>
      </c>
      <c r="M57" s="161" cm="1">
        <f t="array" ref="M57">IF(COUNTIF(DB_Paiements!B:B,A57)=0,"",LOOKUP(2,1/(DB_Paiements!B:B=A57),DB_Paiements!E:E))</f>
        <v>45776</v>
      </c>
      <c r="N57" s="162" t="str" cm="1">
        <f t="array" ref="N57">IF(COUNTIF(DB_Paiements!B:B,A57)=0,"",LOOKUP(2,1/(DB_Paiements!B:B=A57),DB_Paiements!G:G))</f>
        <v>CNAM</v>
      </c>
      <c r="O57" s="162" cm="1">
        <f t="array" ref="O57">IF(COUNTIF(DB_Paiements!B:B,A57)=0,"",LOOKUP(2,1/(DB_Paiements!B:B=A57),DB_Paiements!F:F))</f>
        <v>1290</v>
      </c>
      <c r="P57" s="160"/>
      <c r="Q57" s="162">
        <f ca="1">IF(M57&lt;&gt;"",TODAY()-M57,"")</f>
        <v>119</v>
      </c>
      <c r="R57" s="162" t="str">
        <f>VLOOKUP(VLOOKUP(A57,DB_Locations!A:C,3,FALSE),DB_Appareils!A:F,6,FALSE)</f>
        <v>En location</v>
      </c>
      <c r="S57" s="162" t="str">
        <f>VLOOKUP(A57,DB_Locations!A:I,9,FALSE)</f>
        <v>ACTIF</v>
      </c>
      <c r="T57" s="162"/>
      <c r="U57" s="162"/>
      <c r="V57" s="164" t="str">
        <f ca="1">IF(U57&lt;&gt;"",TODAY()-U57,"")</f>
        <v/>
      </c>
      <c r="W57" s="164"/>
    </row>
    <row r="58" spans="1:23" x14ac:dyDescent="0.25">
      <c r="A58" s="162" t="s">
        <v>1431</v>
      </c>
      <c r="B58" s="162" t="str">
        <f>VLOOKUP(VLOOKUP(A58,DB_Locations!A:B,2,FALSE),DB_Patients!A:B,2,FALSE)</f>
        <v>JEAN CLAUDE</v>
      </c>
      <c r="C58" s="162" t="str">
        <f>VLOOKUP(VLOOKUP(A58,DB_Locations!A:B,2,FALSE),DB_Patients!A:H,8,FALSE)&amp;IF(VLOOKUP(VLOOKUP(A58,DB_Locations!A:B,2,FALSE),DB_Patients!A:I,9,FALSE)&lt;&gt;""," ("&amp;VLOOKUP(VLOOKUP(A58,DB_Locations!A:B,2,FALSE),DB_Patients!A:I,9,FALSE)&amp;")","")</f>
        <v>54651222 (AMIN FILS)</v>
      </c>
      <c r="D58" s="162" t="str">
        <f>VLOOKUP(VLOOKUP(A58,DB_Locations!A:B,2,FALSE),DB_Patients!A:J,10,FALSE)&amp;" ("&amp;VLOOKUP(VLOOKUP(A58,DB_Locations!A:B,2,FALSE),DB_Patients!A:K,11,FALSE)&amp;")"</f>
        <v>50706233 (PERSONNEL)</v>
      </c>
      <c r="E58" s="162" t="str">
        <f>VLOOKUP(VLOOKUP(A58,DB_Locations!A:B,2,FALSE),DB_Patients!A:F,6,FALSE)</f>
        <v>CITE ERRIADH</v>
      </c>
      <c r="F58" s="162" t="str">
        <f>VLOOKUP(VLOOKUP(A58,DB_Locations!A:B,2,FALSE),DB_Patients!A:M,13,FALSE)</f>
        <v>ESPECE</v>
      </c>
      <c r="G58" s="162" t="str">
        <f>VLOOKUP(VLOOKUP(A58,DB_Locations!A:B,2,FALSE),DB_Patients!A:L,12,FALSE)</f>
        <v>ABDELAZIZ HAYOUNI</v>
      </c>
      <c r="H58" s="162" t="str">
        <f>VLOOKUP(A58,DB_Locations!A:F,6,FALSE)</f>
        <v>KARIM</v>
      </c>
      <c r="I58" s="162">
        <f>VLOOKUP(A58,DB_Locations!A:G,7,FALSE)</f>
        <v>0</v>
      </c>
      <c r="J58" s="162" t="str">
        <f>VLOOKUP(VLOOKUP(A58,DB_Locations!A:C,3,FALSE),DB_Appareils!A:B,2,FALSE)</f>
        <v>CONCENTRATEUR O2</v>
      </c>
      <c r="K58" s="161">
        <f>VLOOKUP(A58,DB_Locations!A:D,4,FALSE)</f>
        <v>45867</v>
      </c>
      <c r="L58" s="161" cm="1">
        <f t="array" ref="L58">IF(COUNTIF(DB_Paiements!B:B,A58)=0,"",LOOKUP(2,1/(DB_Paiements!B:B=A58),DB_Paiements!D:D))</f>
        <v>45867</v>
      </c>
      <c r="M58" s="161" cm="1">
        <f t="array" ref="M58">IF(COUNTIF(DB_Paiements!B:B,A58)=0,"",LOOKUP(2,1/(DB_Paiements!B:B=A58),DB_Paiements!E:E))</f>
        <v>45897</v>
      </c>
      <c r="N58" s="162" t="str" cm="1">
        <f t="array" ref="N58">IF(COUNTIF(DB_Paiements!B:B,A58)=0,"",LOOKUP(2,1/(DB_Paiements!B:B=A58),DB_Paiements!G:G))</f>
        <v>ESPECE</v>
      </c>
      <c r="O58" s="162" cm="1">
        <f t="array" ref="O58">IF(COUNTIF(DB_Paiements!B:B,A58)=0,"",LOOKUP(2,1/(DB_Paiements!B:B=A58),DB_Paiements!F:F))</f>
        <v>250</v>
      </c>
      <c r="P58" s="160"/>
      <c r="Q58" s="162">
        <f ca="1">IF(M58&lt;&gt;"",TODAY()-M58,"")</f>
        <v>-2</v>
      </c>
      <c r="R58" s="162" t="str">
        <f>VLOOKUP(VLOOKUP(A58,DB_Locations!A:C,3,FALSE),DB_Appareils!A:F,6,FALSE)</f>
        <v>En location</v>
      </c>
      <c r="S58" s="162" t="str">
        <f>VLOOKUP(A58,DB_Locations!A:I,9,FALSE)</f>
        <v>ACTIF</v>
      </c>
      <c r="T58" s="162" t="s">
        <v>626</v>
      </c>
      <c r="U58" s="162"/>
      <c r="V58" s="164" t="str">
        <f ca="1">IF(U58&lt;&gt;"",TODAY()-U58,"")</f>
        <v/>
      </c>
      <c r="W58" s="164" t="s">
        <v>2394</v>
      </c>
    </row>
    <row r="59" spans="1:23" x14ac:dyDescent="0.25">
      <c r="A59" s="162" t="s">
        <v>1432</v>
      </c>
      <c r="B59" s="162" t="str">
        <f>VLOOKUP(VLOOKUP(A59,DB_Locations!A:B,2,FALSE),DB_Patients!A:B,2,FALSE)</f>
        <v>JEAN CLAUDE</v>
      </c>
      <c r="C59" s="162" t="str">
        <f>VLOOKUP(VLOOKUP(A59,DB_Locations!A:B,2,FALSE),DB_Patients!A:H,8,FALSE)&amp;IF(VLOOKUP(VLOOKUP(A59,DB_Locations!A:B,2,FALSE),DB_Patients!A:I,9,FALSE)&lt;&gt;""," ("&amp;VLOOKUP(VLOOKUP(A59,DB_Locations!A:B,2,FALSE),DB_Patients!A:I,9,FALSE)&amp;")","")</f>
        <v>54651222 (AMIN FILS)</v>
      </c>
      <c r="D59" s="162" t="str">
        <f>VLOOKUP(VLOOKUP(A59,DB_Locations!A:B,2,FALSE),DB_Patients!A:J,10,FALSE)&amp;" ("&amp;VLOOKUP(VLOOKUP(A59,DB_Locations!A:B,2,FALSE),DB_Patients!A:K,11,FALSE)&amp;")"</f>
        <v>50706233 (PERSONNEL)</v>
      </c>
      <c r="E59" s="162" t="str">
        <f>VLOOKUP(VLOOKUP(A59,DB_Locations!A:B,2,FALSE),DB_Patients!A:F,6,FALSE)</f>
        <v>CITE ERRIADH</v>
      </c>
      <c r="F59" s="162" t="str">
        <f>VLOOKUP(VLOOKUP(A59,DB_Locations!A:B,2,FALSE),DB_Patients!A:M,13,FALSE)</f>
        <v>ESPECE</v>
      </c>
      <c r="G59" s="162" t="str">
        <f>VLOOKUP(VLOOKUP(A59,DB_Locations!A:B,2,FALSE),DB_Patients!A:L,12,FALSE)</f>
        <v>ABDELAZIZ HAYOUNI</v>
      </c>
      <c r="H59" s="162" t="str">
        <f>VLOOKUP(A59,DB_Locations!A:F,6,FALSE)</f>
        <v>KARIM</v>
      </c>
      <c r="I59" s="162">
        <f>VLOOKUP(A59,DB_Locations!A:G,7,FALSE)</f>
        <v>0</v>
      </c>
      <c r="J59" s="162" t="str">
        <f>VLOOKUP(VLOOKUP(A59,DB_Locations!A:C,3,FALSE),DB_Appareils!A:B,2,FALSE)</f>
        <v>CONCENTRATEUR O2</v>
      </c>
      <c r="K59" s="161">
        <f>VLOOKUP(A59,DB_Locations!A:D,4,FALSE)</f>
        <v>45877</v>
      </c>
      <c r="L59" s="161">
        <f>IF(COUNTIF(DB_Paiements!B:B,A59)=0,"",LOOKUP(2,1/(DB_Paiements!B:B=A59),DB_Paiements!D:D))</f>
        <v>45877</v>
      </c>
      <c r="M59" s="161" cm="1">
        <f t="array" ref="M59">IF(COUNTIF(DB_Paiements!B:B,A59)=0,"",LOOKUP(2,1/(DB_Paiements!B:B=A59),DB_Paiements!E:E))</f>
        <v>45907</v>
      </c>
      <c r="N59" s="162" t="str" cm="1">
        <f t="array" ref="N59">IF(COUNTIF(DB_Paiements!B:B,A59)=0,"",LOOKUP(2,1/(DB_Paiements!B:B=A59),DB_Paiements!G:G))</f>
        <v>ESPECE</v>
      </c>
      <c r="O59" s="162" cm="1">
        <f t="array" ref="O59">IF(COUNTIF(DB_Paiements!B:B,A59)=0,"",LOOKUP(2,1/(DB_Paiements!B:B=A59),DB_Paiements!F:F))</f>
        <v>450</v>
      </c>
      <c r="P59" s="160"/>
      <c r="Q59" s="162">
        <f ca="1">IF(M59&lt;&gt;"",TODAY()-M59,"")</f>
        <v>-12</v>
      </c>
      <c r="R59" s="162" t="str">
        <f>VLOOKUP(VLOOKUP(A59,DB_Locations!A:C,3,FALSE),DB_Appareils!A:F,6,FALSE)</f>
        <v>En location</v>
      </c>
      <c r="S59" s="162" t="str">
        <f>VLOOKUP(A59,DB_Locations!A:I,9,FALSE)</f>
        <v>Actif</v>
      </c>
      <c r="T59" s="162" t="s">
        <v>626</v>
      </c>
      <c r="U59" s="162"/>
      <c r="V59" s="164" t="str">
        <f ca="1">IF(U59&lt;&gt;"",TODAY()-U59,"")</f>
        <v/>
      </c>
      <c r="W59" s="164" t="s">
        <v>2394</v>
      </c>
    </row>
    <row r="60" spans="1:23" x14ac:dyDescent="0.25">
      <c r="A60" s="162" t="s">
        <v>1433</v>
      </c>
      <c r="B60" s="162" t="str">
        <f>VLOOKUP(VLOOKUP(A60,DB_Locations!A:B,2,FALSE),DB_Patients!A:B,2,FALSE)</f>
        <v xml:space="preserve"> JEGHAM ASMA</v>
      </c>
      <c r="C60" s="162" t="str">
        <f>VLOOKUP(VLOOKUP(A60,DB_Locations!A:B,2,FALSE),DB_Patients!A:H,8,FALSE)&amp;IF(VLOOKUP(VLOOKUP(A60,DB_Locations!A:B,2,FALSE),DB_Patients!A:I,9,FALSE)&lt;&gt;""," ("&amp;VLOOKUP(VLOOKUP(A60,DB_Locations!A:B,2,FALSE),DB_Patients!A:I,9,FALSE)&amp;")","")</f>
        <v>95741900</v>
      </c>
      <c r="D60" s="162" t="str">
        <f>VLOOKUP(VLOOKUP(A60,DB_Locations!A:B,2,FALSE),DB_Patients!A:J,10,FALSE)&amp;" ("&amp;VLOOKUP(VLOOKUP(A60,DB_Locations!A:B,2,FALSE),DB_Patients!A:K,11,FALSE)&amp;")"</f>
        <v>28272450 ()</v>
      </c>
      <c r="E60" s="162" t="str">
        <f>VLOOKUP(VLOOKUP(A60,DB_Locations!A:B,2,FALSE),DB_Patients!A:F,6,FALSE)</f>
        <v>HAMMEM SOUSSE</v>
      </c>
      <c r="F60" s="162" t="str">
        <f>VLOOKUP(VLOOKUP(A60,DB_Locations!A:B,2,FALSE),DB_Patients!A:M,13,FALSE)</f>
        <v>CNAM</v>
      </c>
      <c r="G60" s="162" t="str">
        <f>VLOOKUP(VLOOKUP(A60,DB_Locations!A:B,2,FALSE),DB_Patients!A:L,12,FALSE)</f>
        <v xml:space="preserve">AHMED ABDELGHANI </v>
      </c>
      <c r="H60" s="162" t="str">
        <f>VLOOKUP(A60,DB_Locations!A:F,6,FALSE)</f>
        <v>KARIM</v>
      </c>
      <c r="I60" s="162">
        <f>VLOOKUP(A60,DB_Locations!A:G,7,FALSE)</f>
        <v>0</v>
      </c>
      <c r="J60" s="162" t="str">
        <f>VLOOKUP(VLOOKUP(A60,DB_Locations!A:C,3,FALSE),DB_Appareils!A:B,2,FALSE)</f>
        <v>CONCENTRATEUR O2</v>
      </c>
      <c r="K60" s="161">
        <f>VLOOKUP(A60,DB_Locations!A:D,4,FALSE)</f>
        <v>45694</v>
      </c>
      <c r="L60" s="161" cm="1">
        <f t="array" ref="L60">IF(COUNTIF(DB_Paiements!B:B,A60)=0,"",LOOKUP(2,1/(DB_Paiements!B:B=A60),DB_Paiements!D:D))</f>
        <v>45813</v>
      </c>
      <c r="M60" s="161" cm="1">
        <f t="array" ref="M60">IF(COUNTIF(DB_Paiements!B:B,A60)=0,"",LOOKUP(2,1/(DB_Paiements!B:B=A60),DB_Paiements!E:E))</f>
        <v>45904</v>
      </c>
      <c r="N60" s="162" t="str" cm="1">
        <f t="array" ref="N60">IF(COUNTIF(DB_Paiements!B:B,A60)=0,"",LOOKUP(2,1/(DB_Paiements!B:B=A60),DB_Paiements!G:G))</f>
        <v xml:space="preserve">CNAM </v>
      </c>
      <c r="O60" s="162" cm="1">
        <f t="array" ref="O60">IF(COUNTIF(DB_Paiements!B:B,A60)=0,"",LOOKUP(2,1/(DB_Paiements!B:B=A60),DB_Paiements!F:F))</f>
        <v>570</v>
      </c>
      <c r="P60" s="160"/>
      <c r="Q60" s="162">
        <f ca="1">IF(M60&lt;&gt;"",TODAY()-M60,"")</f>
        <v>-9</v>
      </c>
      <c r="R60" s="162" t="str">
        <f>VLOOKUP(VLOOKUP(A60,DB_Locations!A:C,3,FALSE),DB_Appareils!A:F,6,FALSE)</f>
        <v>En location</v>
      </c>
      <c r="S60" s="162" t="str">
        <f>VLOOKUP(A60,DB_Locations!A:I,9,FALSE)</f>
        <v>Actif</v>
      </c>
      <c r="T60" s="162"/>
      <c r="U60" s="162"/>
      <c r="V60" s="162"/>
      <c r="W60" s="164"/>
    </row>
    <row r="61" spans="1:23" x14ac:dyDescent="0.25">
      <c r="A61" s="162" t="s">
        <v>1434</v>
      </c>
      <c r="B61" s="162" t="str">
        <f>VLOOKUP(VLOOKUP(A61,DB_Locations!A:B,2,FALSE),DB_Patients!A:B,2,FALSE)</f>
        <v>BAKLOUTI ABDALLAH</v>
      </c>
      <c r="C61" s="162" t="str">
        <f>VLOOKUP(VLOOKUP(A61,DB_Locations!A:B,2,FALSE),DB_Patients!A:H,8,FALSE)&amp;IF(VLOOKUP(VLOOKUP(A61,DB_Locations!A:B,2,FALSE),DB_Patients!A:I,9,FALSE)&lt;&gt;""," ("&amp;VLOOKUP(VLOOKUP(A61,DB_Locations!A:B,2,FALSE),DB_Patients!A:I,9,FALSE)&amp;")","")</f>
        <v>48119558</v>
      </c>
      <c r="D61" s="162" t="str">
        <f>VLOOKUP(VLOOKUP(A61,DB_Locations!A:B,2,FALSE),DB_Patients!A:J,10,FALSE)&amp;" ("&amp;VLOOKUP(VLOOKUP(A61,DB_Locations!A:B,2,FALSE),DB_Patients!A:K,11,FALSE)&amp;")"</f>
        <v>23510716 ()</v>
      </c>
      <c r="E61" s="162" t="str">
        <f>VLOOKUP(VLOOKUP(A61,DB_Locations!A:B,2,FALSE),DB_Patients!A:F,6,FALSE)</f>
        <v>MESSADINE</v>
      </c>
      <c r="F61" s="162" t="str">
        <f>VLOOKUP(VLOOKUP(A61,DB_Locations!A:B,2,FALSE),DB_Patients!A:M,13,FALSE)</f>
        <v>CNAM</v>
      </c>
      <c r="G61" s="162" t="str">
        <f>VLOOKUP(VLOOKUP(A61,DB_Locations!A:B,2,FALSE),DB_Patients!A:L,12,FALSE)</f>
        <v xml:space="preserve">ASMA OMRANE </v>
      </c>
      <c r="H61" s="162" t="str">
        <f>VLOOKUP(A61,DB_Locations!A:F,6,FALSE)</f>
        <v>BILEL BOUHLEL</v>
      </c>
      <c r="I61" s="162">
        <f>VLOOKUP(A61,DB_Locations!A:G,7,FALSE)</f>
        <v>0</v>
      </c>
      <c r="J61" s="162" t="str">
        <f>VLOOKUP(VLOOKUP(A61,DB_Locations!A:C,3,FALSE),DB_Appareils!A:B,2,FALSE)</f>
        <v>CONCENTRATEUR O2</v>
      </c>
      <c r="K61" s="161">
        <f>VLOOKUP(A61,DB_Locations!A:D,4,FALSE)</f>
        <v>45700</v>
      </c>
      <c r="L61" s="161" cm="1">
        <f t="array" ref="L61">IF(COUNTIF(DB_Paiements!B:B,A61)=0,"",LOOKUP(2,1/(DB_Paiements!B:B=A61),DB_Paiements!D:D))</f>
        <v>45824</v>
      </c>
      <c r="M61" s="161" cm="1">
        <f t="array" ref="M61">IF(COUNTIF(DB_Paiements!B:B,A61)=0,"",LOOKUP(2,1/(DB_Paiements!B:B=A61),DB_Paiements!E:E))</f>
        <v>45915</v>
      </c>
      <c r="N61" s="162" t="str" cm="1">
        <f t="array" ref="N61">IF(COUNTIF(DB_Paiements!B:B,A61)=0,"",LOOKUP(2,1/(DB_Paiements!B:B=A61),DB_Paiements!G:G))</f>
        <v>CNAM</v>
      </c>
      <c r="O61" s="162" cm="1">
        <f t="array" ref="O61">IF(COUNTIF(DB_Paiements!B:B,A61)=0,"",LOOKUP(2,1/(DB_Paiements!B:B=A61),DB_Paiements!F:F))</f>
        <v>570</v>
      </c>
      <c r="P61" s="160"/>
      <c r="Q61" s="162">
        <f ca="1">IF(M61&lt;&gt;"",TODAY()-M61,"")</f>
        <v>-20</v>
      </c>
      <c r="R61" s="162" t="str">
        <f>VLOOKUP(VLOOKUP(A61,DB_Locations!A:C,3,FALSE),DB_Appareils!A:F,6,FALSE)</f>
        <v>En location</v>
      </c>
      <c r="S61" s="162" t="str">
        <f>VLOOKUP(A61,DB_Locations!A:I,9,FALSE)</f>
        <v>ACTIF</v>
      </c>
      <c r="T61" s="162"/>
      <c r="U61" s="162"/>
      <c r="V61" s="162"/>
      <c r="W61" s="164"/>
    </row>
    <row r="62" spans="1:23" x14ac:dyDescent="0.25">
      <c r="A62" s="162" t="s">
        <v>1435</v>
      </c>
      <c r="B62" s="162" t="str">
        <f>VLOOKUP(VLOOKUP(A62,DB_Locations!A:B,2,FALSE),DB_Patients!A:B,2,FALSE)</f>
        <v>BAKLOUTI ABDALLAH</v>
      </c>
      <c r="C62" s="162" t="str">
        <f>VLOOKUP(VLOOKUP(A62,DB_Locations!A:B,2,FALSE),DB_Patients!A:H,8,FALSE)&amp;IF(VLOOKUP(VLOOKUP(A62,DB_Locations!A:B,2,FALSE),DB_Patients!A:I,9,FALSE)&lt;&gt;""," ("&amp;VLOOKUP(VLOOKUP(A62,DB_Locations!A:B,2,FALSE),DB_Patients!A:I,9,FALSE)&amp;")","")</f>
        <v>48119558</v>
      </c>
      <c r="D62" s="162" t="str">
        <f>VLOOKUP(VLOOKUP(A62,DB_Locations!A:B,2,FALSE),DB_Patients!A:J,10,FALSE)&amp;" ("&amp;VLOOKUP(VLOOKUP(A62,DB_Locations!A:B,2,FALSE),DB_Patients!A:K,11,FALSE)&amp;")"</f>
        <v>23510716 ()</v>
      </c>
      <c r="E62" s="162" t="str">
        <f>VLOOKUP(VLOOKUP(A62,DB_Locations!A:B,2,FALSE),DB_Patients!A:F,6,FALSE)</f>
        <v>MESSADINE</v>
      </c>
      <c r="F62" s="162" t="str">
        <f>VLOOKUP(VLOOKUP(A62,DB_Locations!A:B,2,FALSE),DB_Patients!A:M,13,FALSE)</f>
        <v>CNAM</v>
      </c>
      <c r="G62" s="162" t="str">
        <f>VLOOKUP(VLOOKUP(A62,DB_Locations!A:B,2,FALSE),DB_Patients!A:L,12,FALSE)</f>
        <v xml:space="preserve">ASMA OMRANE </v>
      </c>
      <c r="H62" s="162" t="str">
        <f>VLOOKUP(A62,DB_Locations!A:F,6,FALSE)</f>
        <v>BILEL BOUHLEL</v>
      </c>
      <c r="I62" s="162">
        <f>VLOOKUP(A62,DB_Locations!A:G,7,FALSE)</f>
        <v>0</v>
      </c>
      <c r="J62" s="162" t="str">
        <f>VLOOKUP(VLOOKUP(A62,DB_Locations!A:C,3,FALSE),DB_Appareils!A:B,2,FALSE)</f>
        <v>VNI</v>
      </c>
      <c r="K62" s="161">
        <f>VLOOKUP(A62,DB_Locations!A:D,4,FALSE)</f>
        <v>45672</v>
      </c>
      <c r="L62" s="161" cm="1">
        <f t="array" ref="L62">IF(COUNTIF(DB_Paiements!B:B,A62)=0,"",LOOKUP(2,1/(DB_Paiements!B:B=A62),DB_Paiements!D:D))</f>
        <v>45824</v>
      </c>
      <c r="M62" s="161" cm="1">
        <f t="array" ref="M62">IF(COUNTIF(DB_Paiements!B:B,A62)=0,"",LOOKUP(2,1/(DB_Paiements!B:B=A62),DB_Paiements!E:E))</f>
        <v>46006</v>
      </c>
      <c r="N62" s="162" t="str" cm="1">
        <f t="array" ref="N62">IF(COUNTIF(DB_Paiements!B:B,A62)=0,"",LOOKUP(2,1/(DB_Paiements!B:B=A62),DB_Paiements!G:G))</f>
        <v>CNAM</v>
      </c>
      <c r="O62" s="162" cm="1">
        <f t="array" ref="O62">IF(COUNTIF(DB_Paiements!B:B,A62)=0,"",LOOKUP(2,1/(DB_Paiements!B:B=A62),DB_Paiements!F:F))</f>
        <v>2580</v>
      </c>
      <c r="P62" s="160"/>
      <c r="Q62" s="162">
        <f ca="1">IF(M62&lt;&gt;"",TODAY()-M62,"")</f>
        <v>-111</v>
      </c>
      <c r="R62" s="162" t="str">
        <f>VLOOKUP(VLOOKUP(A62,DB_Locations!A:C,3,FALSE),DB_Appareils!A:F,6,FALSE)</f>
        <v>En location</v>
      </c>
      <c r="S62" s="162" t="str">
        <f>VLOOKUP(A62,DB_Locations!A:I,9,FALSE)</f>
        <v>Actif</v>
      </c>
      <c r="T62" s="162"/>
      <c r="U62" s="162"/>
      <c r="V62" s="162"/>
      <c r="W62" s="164"/>
    </row>
    <row r="63" spans="1:23" x14ac:dyDescent="0.25">
      <c r="A63" s="162" t="s">
        <v>1436</v>
      </c>
      <c r="B63" s="162" t="str">
        <f>VLOOKUP(VLOOKUP(A63,DB_Locations!A:B,2,FALSE),DB_Patients!A:B,2,FALSE)</f>
        <v>BEN AHMED HASSAN</v>
      </c>
      <c r="C63" s="162" t="str">
        <f>VLOOKUP(VLOOKUP(A63,DB_Locations!A:B,2,FALSE),DB_Patients!A:H,8,FALSE)&amp;IF(VLOOKUP(VLOOKUP(A63,DB_Locations!A:B,2,FALSE),DB_Patients!A:I,9,FALSE)&lt;&gt;""," ("&amp;VLOOKUP(VLOOKUP(A63,DB_Locations!A:B,2,FALSE),DB_Patients!A:I,9,FALSE)&amp;")","")</f>
        <v>20945327 (AMEL)</v>
      </c>
      <c r="D63" s="162" t="str">
        <f>VLOOKUP(VLOOKUP(A63,DB_Locations!A:B,2,FALSE),DB_Patients!A:J,10,FALSE)&amp;" ("&amp;VLOOKUP(VLOOKUP(A63,DB_Locations!A:B,2,FALSE),DB_Patients!A:K,11,FALSE)&amp;")"</f>
        <v>97457981 (HASSAN)</v>
      </c>
      <c r="E63" s="162" t="str">
        <f>VLOOKUP(VLOOKUP(A63,DB_Locations!A:B,2,FALSE),DB_Patients!A:F,6,FALSE)</f>
        <v>KALAA SGHIRA</v>
      </c>
      <c r="F63" s="162" t="str">
        <f>VLOOKUP(VLOOKUP(A63,DB_Locations!A:B,2,FALSE),DB_Patients!A:M,13,FALSE)</f>
        <v>CNAM</v>
      </c>
      <c r="G63" s="162" t="str">
        <f>VLOOKUP(VLOOKUP(A63,DB_Locations!A:B,2,FALSE),DB_Patients!A:L,12,FALSE)</f>
        <v>BARAA BEN BDIRA</v>
      </c>
      <c r="H63" s="162" t="str">
        <f>VLOOKUP(A63,DB_Locations!A:F,6,FALSE)</f>
        <v>BILEL BOUHLEL</v>
      </c>
      <c r="I63" s="162">
        <f>VLOOKUP(A63,DB_Locations!A:G,7,FALSE)</f>
        <v>0</v>
      </c>
      <c r="J63" s="162" t="str">
        <f>VLOOKUP(VLOOKUP(A63,DB_Locations!A:C,3,FALSE),DB_Appareils!A:B,2,FALSE)</f>
        <v>CONCENTRATEUR O2</v>
      </c>
      <c r="K63" s="161">
        <f>VLOOKUP(A63,DB_Locations!A:D,4,FALSE)</f>
        <v>45708</v>
      </c>
      <c r="L63" s="161" cm="1">
        <f t="array" ref="L63">IF(COUNTIF(DB_Paiements!B:B,A63)=0,"",LOOKUP(2,1/(DB_Paiements!B:B=A63),DB_Paiements!D:D))</f>
        <v>45860</v>
      </c>
      <c r="M63" s="161" cm="1">
        <f t="array" ref="M63">IF(COUNTIF(DB_Paiements!B:B,A63)=0,"",LOOKUP(2,1/(DB_Paiements!B:B=A63),DB_Paiements!E:E))</f>
        <v>45951</v>
      </c>
      <c r="N63" s="162" t="str" cm="1">
        <f t="array" ref="N63">IF(COUNTIF(DB_Paiements!B:B,A63)=0,"",LOOKUP(2,1/(DB_Paiements!B:B=A63),DB_Paiements!G:G))</f>
        <v>CNAM</v>
      </c>
      <c r="O63" s="162" cm="1">
        <f t="array" ref="O63">IF(COUNTIF(DB_Paiements!B:B,A63)=0,"",LOOKUP(2,1/(DB_Paiements!B:B=A63),DB_Paiements!F:F))</f>
        <v>570</v>
      </c>
      <c r="P63" s="160" t="s">
        <v>2183</v>
      </c>
      <c r="Q63" s="162">
        <f ca="1">IF(M63&lt;&gt;"",TODAY()-M63,"")</f>
        <v>-56</v>
      </c>
      <c r="R63" s="162" t="str">
        <f>VLOOKUP(VLOOKUP(A63,DB_Locations!A:C,3,FALSE),DB_Appareils!A:F,6,FALSE)</f>
        <v>En location</v>
      </c>
      <c r="S63" s="162" t="str">
        <f>VLOOKUP(A63,DB_Locations!A:I,9,FALSE)</f>
        <v>Actif</v>
      </c>
      <c r="T63" s="162"/>
      <c r="U63" s="162"/>
      <c r="V63" s="162"/>
      <c r="W63" s="164" t="s">
        <v>2154</v>
      </c>
    </row>
    <row r="64" spans="1:23" x14ac:dyDescent="0.25">
      <c r="A64" s="162" t="s">
        <v>1437</v>
      </c>
      <c r="B64" s="162" t="str">
        <f>VLOOKUP(VLOOKUP(A64,DB_Locations!A:B,2,FALSE),DB_Patients!A:B,2,FALSE)</f>
        <v>AKKARI VVE FARHAT AICHA</v>
      </c>
      <c r="C64" s="162" t="str">
        <f>VLOOKUP(VLOOKUP(A64,DB_Locations!A:B,2,FALSE),DB_Patients!A:H,8,FALSE)&amp;IF(VLOOKUP(VLOOKUP(A64,DB_Locations!A:B,2,FALSE),DB_Patients!A:I,9,FALSE)&lt;&gt;""," ("&amp;VLOOKUP(VLOOKUP(A64,DB_Locations!A:B,2,FALSE),DB_Patients!A:I,9,FALSE)&amp;")","")</f>
        <v>98820801 (FATHI)</v>
      </c>
      <c r="D64" s="162" t="str">
        <f>VLOOKUP(VLOOKUP(A64,DB_Locations!A:B,2,FALSE),DB_Patients!A:J,10,FALSE)&amp;" ("&amp;VLOOKUP(VLOOKUP(A64,DB_Locations!A:B,2,FALSE),DB_Patients!A:K,11,FALSE)&amp;")"</f>
        <v>94910575 (BASSMA)</v>
      </c>
      <c r="E64" s="162" t="str">
        <f>VLOOKUP(VLOOKUP(A64,DB_Locations!A:B,2,FALSE),DB_Patients!A:F,6,FALSE)</f>
        <v>BOUFICHA</v>
      </c>
      <c r="F64" s="162" t="str">
        <f>VLOOKUP(VLOOKUP(A64,DB_Locations!A:B,2,FALSE),DB_Patients!A:M,13,FALSE)</f>
        <v>CNAM</v>
      </c>
      <c r="G64" s="162" t="str">
        <f>VLOOKUP(VLOOKUP(A64,DB_Locations!A:B,2,FALSE),DB_Patients!A:L,12,FALSE)</f>
        <v>GARROUCH ABDELHAMID / SALSABIL BOUAFIA</v>
      </c>
      <c r="H64" s="162" t="str">
        <f>VLOOKUP(A64,DB_Locations!A:F,6,FALSE)</f>
        <v>BILEL BOUHLEL</v>
      </c>
      <c r="I64" s="162">
        <f>VLOOKUP(A64,DB_Locations!A:G,7,FALSE)</f>
        <v>0</v>
      </c>
      <c r="J64" s="162" t="str">
        <f>VLOOKUP(VLOOKUP(A64,DB_Locations!A:C,3,FALSE),DB_Appareils!A:B,2,FALSE)</f>
        <v>CONCENTRATEUR O2</v>
      </c>
      <c r="K64" s="161">
        <f>VLOOKUP(A64,DB_Locations!A:D,4,FALSE)</f>
        <v>45709</v>
      </c>
      <c r="L64" s="161" cm="1">
        <f t="array" ref="L64">IF(COUNTIF(DB_Paiements!B:B,A64)=0,"",LOOKUP(2,1/(DB_Paiements!B:B=A64),DB_Paiements!D:D))</f>
        <v>45806</v>
      </c>
      <c r="M64" s="161" cm="1">
        <f t="array" ref="M64">IF(COUNTIF(DB_Paiements!B:B,A64)=0,"",LOOKUP(2,1/(DB_Paiements!B:B=A64),DB_Paiements!E:E))</f>
        <v>45897</v>
      </c>
      <c r="N64" s="162" t="str" cm="1">
        <f t="array" ref="N64">IF(COUNTIF(DB_Paiements!B:B,A64)=0,"",LOOKUP(2,1/(DB_Paiements!B:B=A64),DB_Paiements!G:G))</f>
        <v>CNAM</v>
      </c>
      <c r="O64" s="162" cm="1">
        <f t="array" ref="O64">IF(COUNTIF(DB_Paiements!B:B,A64)=0,"",LOOKUP(2,1/(DB_Paiements!B:B=A64),DB_Paiements!F:F))</f>
        <v>570</v>
      </c>
      <c r="P64" s="160"/>
      <c r="Q64" s="162">
        <f ca="1">IF(M64&lt;&gt;"",TODAY()-M64,"")</f>
        <v>-2</v>
      </c>
      <c r="R64" s="162" t="str">
        <f>VLOOKUP(VLOOKUP(A64,DB_Locations!A:C,3,FALSE),DB_Appareils!A:F,6,FALSE)</f>
        <v>En location</v>
      </c>
      <c r="S64" s="162" t="str">
        <f>VLOOKUP(A64,DB_Locations!A:I,9,FALSE)</f>
        <v>Actif</v>
      </c>
      <c r="T64" s="162"/>
      <c r="U64" s="162"/>
      <c r="V64" s="164" t="str">
        <f ca="1">IF(U64&lt;&gt;"",TODAY()-U64,"")</f>
        <v/>
      </c>
      <c r="W64" s="164"/>
    </row>
    <row r="65" spans="1:23" x14ac:dyDescent="0.25">
      <c r="A65" s="162" t="s">
        <v>1438</v>
      </c>
      <c r="B65" s="162" t="str">
        <f>VLOOKUP(VLOOKUP(A65,DB_Locations!A:B,2,FALSE),DB_Patients!A:B,2,FALSE)</f>
        <v>AKKARI VVE FARHAT AICHA</v>
      </c>
      <c r="C65" s="162" t="str">
        <f>VLOOKUP(VLOOKUP(A65,DB_Locations!A:B,2,FALSE),DB_Patients!A:H,8,FALSE)&amp;IF(VLOOKUP(VLOOKUP(A65,DB_Locations!A:B,2,FALSE),DB_Patients!A:I,9,FALSE)&lt;&gt;""," ("&amp;VLOOKUP(VLOOKUP(A65,DB_Locations!A:B,2,FALSE),DB_Patients!A:I,9,FALSE)&amp;")","")</f>
        <v>98820801 (FATHI)</v>
      </c>
      <c r="D65" s="162" t="str">
        <f>VLOOKUP(VLOOKUP(A65,DB_Locations!A:B,2,FALSE),DB_Patients!A:J,10,FALSE)&amp;" ("&amp;VLOOKUP(VLOOKUP(A65,DB_Locations!A:B,2,FALSE),DB_Patients!A:K,11,FALSE)&amp;")"</f>
        <v>94910575 (BASSMA)</v>
      </c>
      <c r="E65" s="162" t="str">
        <f>VLOOKUP(VLOOKUP(A65,DB_Locations!A:B,2,FALSE),DB_Patients!A:F,6,FALSE)</f>
        <v>BOUFICHA</v>
      </c>
      <c r="F65" s="162" t="str">
        <f>VLOOKUP(VLOOKUP(A65,DB_Locations!A:B,2,FALSE),DB_Patients!A:M,13,FALSE)</f>
        <v>CNAM</v>
      </c>
      <c r="G65" s="162" t="str">
        <f>VLOOKUP(VLOOKUP(A65,DB_Locations!A:B,2,FALSE),DB_Patients!A:L,12,FALSE)</f>
        <v>GARROUCH ABDELHAMID / SALSABIL BOUAFIA</v>
      </c>
      <c r="H65" s="162" t="str">
        <f>VLOOKUP(A65,DB_Locations!A:F,6,FALSE)</f>
        <v>BILEL BOUHLEL</v>
      </c>
      <c r="I65" s="162">
        <f>VLOOKUP(A65,DB_Locations!A:G,7,FALSE)</f>
        <v>0</v>
      </c>
      <c r="J65" s="162" t="str">
        <f>VLOOKUP(VLOOKUP(A65,DB_Locations!A:C,3,FALSE),DB_Appareils!A:B,2,FALSE)</f>
        <v>VNI</v>
      </c>
      <c r="K65" s="161">
        <f>VLOOKUP(A65,DB_Locations!A:D,4,FALSE)</f>
        <v>45793</v>
      </c>
      <c r="L65" s="161" cm="1">
        <f t="array" ref="L65">IF(COUNTIF(DB_Paiements!B:B,A65)=0,"",LOOKUP(2,1/(DB_Paiements!B:B=A65),DB_Paiements!D:D))</f>
        <v>45796</v>
      </c>
      <c r="M65" s="161" cm="1">
        <f t="array" ref="M65">IF(COUNTIF(DB_Paiements!B:B,A65)=0,"",LOOKUP(2,1/(DB_Paiements!B:B=A65),DB_Paiements!E:E))</f>
        <v>45887</v>
      </c>
      <c r="N65" s="162" t="str" cm="1">
        <f t="array" ref="N65">IF(COUNTIF(DB_Paiements!B:B,A65)=0,"",LOOKUP(2,1/(DB_Paiements!B:B=A65),DB_Paiements!G:G))</f>
        <v>CNAM</v>
      </c>
      <c r="O65" s="162" cm="1">
        <f t="array" ref="O65">IF(COUNTIF(DB_Paiements!B:B,A65)=0,"",LOOKUP(2,1/(DB_Paiements!B:B=A65),DB_Paiements!F:F))</f>
        <v>1290</v>
      </c>
      <c r="P65" s="160"/>
      <c r="Q65" s="162">
        <f ca="1">IF(M65&lt;&gt;"",TODAY()-M65,"")</f>
        <v>8</v>
      </c>
      <c r="R65" s="162" t="str">
        <f>VLOOKUP(VLOOKUP(A65,DB_Locations!A:C,3,FALSE),DB_Appareils!A:F,6,FALSE)</f>
        <v>En location</v>
      </c>
      <c r="S65" s="162" t="str">
        <f>VLOOKUP(A65,DB_Locations!A:I,9,FALSE)</f>
        <v>Actif</v>
      </c>
      <c r="T65" s="162"/>
      <c r="U65" s="162"/>
      <c r="V65" s="164" t="str">
        <f ca="1">IF(U65&lt;&gt;"",TODAY()-U65,"")</f>
        <v/>
      </c>
      <c r="W65" s="164"/>
    </row>
    <row r="66" spans="1:23" x14ac:dyDescent="0.25">
      <c r="A66" s="162" t="s">
        <v>1424</v>
      </c>
      <c r="B66" s="162" t="str">
        <f>VLOOKUP(VLOOKUP(A66,DB_Locations!A:B,2,FALSE),DB_Patients!A:B,2,FALSE)</f>
        <v>HICHERI AJMI</v>
      </c>
      <c r="C66" s="162" t="str">
        <f>VLOOKUP(VLOOKUP(A66,DB_Locations!A:B,2,FALSE),DB_Patients!A:H,8,FALSE)&amp;IF(VLOOKUP(VLOOKUP(A66,DB_Locations!A:B,2,FALSE),DB_Patients!A:I,9,FALSE)&lt;&gt;""," ("&amp;VLOOKUP(VLOOKUP(A66,DB_Locations!A:B,2,FALSE),DB_Patients!A:I,9,FALSE)&amp;")","")</f>
        <v>29427014 (98528448)</v>
      </c>
      <c r="D66" s="162" t="str">
        <f>VLOOKUP(VLOOKUP(A66,DB_Locations!A:B,2,FALSE),DB_Patients!A:J,10,FALSE)&amp;" ("&amp;VLOOKUP(VLOOKUP(A66,DB_Locations!A:B,2,FALSE),DB_Patients!A:K,11,FALSE)&amp;")"</f>
        <v>29176726 ()</v>
      </c>
      <c r="E66" s="162" t="str">
        <f>VLOOKUP(VLOOKUP(A66,DB_Locations!A:B,2,FALSE),DB_Patients!A:F,6,FALSE)</f>
        <v>BOUFICHA</v>
      </c>
      <c r="F66" s="162" t="str">
        <f>VLOOKUP(VLOOKUP(A66,DB_Locations!A:B,2,FALSE),DB_Patients!A:M,13,FALSE)</f>
        <v>CNAM</v>
      </c>
      <c r="G66" s="162" t="str">
        <f>VLOOKUP(VLOOKUP(A66,DB_Locations!A:B,2,FALSE),DB_Patients!A:L,12,FALSE)</f>
        <v>GARGOURI IMEN</v>
      </c>
      <c r="H66" s="162" t="str">
        <f>VLOOKUP(A66,DB_Locations!A:F,6,FALSE)</f>
        <v>BILEL BOUHLEL</v>
      </c>
      <c r="I66" s="162">
        <f>VLOOKUP(A66,DB_Locations!A:G,7,FALSE)</f>
        <v>0</v>
      </c>
      <c r="J66" s="162" t="str">
        <f>VLOOKUP(VLOOKUP(A66,DB_Locations!A:C,3,FALSE),DB_Appareils!A:B,2,FALSE)</f>
        <v>VNI</v>
      </c>
      <c r="K66" s="161">
        <f>VLOOKUP(A66,DB_Locations!A:D,4,FALSE)</f>
        <v>45549</v>
      </c>
      <c r="L66" s="161" cm="1">
        <f t="array" ref="L66">IF(COUNTIF(DB_Paiements!B:B,A66)=0,"",LOOKUP(2,1/(DB_Paiements!B:B=A66),DB_Paiements!D:D))</f>
        <v>45706</v>
      </c>
      <c r="M66" s="161" cm="1">
        <f t="array" ref="M66">IF(COUNTIF(DB_Paiements!B:B,A66)=0,"",LOOKUP(2,1/(DB_Paiements!B:B=A66),DB_Paiements!E:E))</f>
        <v>45886</v>
      </c>
      <c r="N66" s="162" t="str" cm="1">
        <f t="array" ref="N66">IF(COUNTIF(DB_Paiements!B:B,A66)=0,"",LOOKUP(2,1/(DB_Paiements!B:B=A66),DB_Paiements!G:G))</f>
        <v>CNAM</v>
      </c>
      <c r="O66" s="162" cm="1">
        <f t="array" ref="O66">IF(COUNTIF(DB_Paiements!B:B,A66)=0,"",LOOKUP(2,1/(DB_Paiements!B:B=A66),DB_Paiements!F:F))</f>
        <v>2580</v>
      </c>
      <c r="P66" s="160"/>
      <c r="Q66" s="162">
        <f ca="1">IF(M66&lt;&gt;"",TODAY()-M66,"")</f>
        <v>9</v>
      </c>
      <c r="R66" s="162" t="str">
        <f>VLOOKUP(VLOOKUP(A66,DB_Locations!A:C,3,FALSE),DB_Appareils!A:F,6,FALSE)</f>
        <v>En location</v>
      </c>
      <c r="S66" s="162" t="str">
        <f>VLOOKUP(A66,DB_Locations!A:I,9,FALSE)</f>
        <v>Actif</v>
      </c>
      <c r="T66" s="162"/>
      <c r="U66" s="162"/>
      <c r="V66" s="164" t="str">
        <f ca="1">IF(U66&lt;&gt;"",TODAY()-U66,"")</f>
        <v/>
      </c>
      <c r="W66" s="164"/>
    </row>
    <row r="67" spans="1:23" x14ac:dyDescent="0.25">
      <c r="A67" s="162" t="s">
        <v>1489</v>
      </c>
      <c r="B67" s="162" t="str">
        <f>VLOOKUP(VLOOKUP(A67,DB_Locations!A:B,2,FALSE),DB_Patients!A:B,2,FALSE)</f>
        <v>HASSIN KADIDA</v>
      </c>
      <c r="C67" s="162" t="str">
        <f>VLOOKUP(VLOOKUP(A67,DB_Locations!A:B,2,FALSE),DB_Patients!A:H,8,FALSE)&amp;IF(VLOOKUP(VLOOKUP(A67,DB_Locations!A:B,2,FALSE),DB_Patients!A:I,9,FALSE)&lt;&gt;""," ("&amp;VLOOKUP(VLOOKUP(A67,DB_Locations!A:B,2,FALSE),DB_Patients!A:I,9,FALSE)&amp;")","")</f>
        <v>98475926</v>
      </c>
      <c r="D67" s="162" t="str">
        <f>VLOOKUP(VLOOKUP(A67,DB_Locations!A:B,2,FALSE),DB_Patients!A:J,10,FALSE)&amp;" ("&amp;VLOOKUP(VLOOKUP(A67,DB_Locations!A:B,2,FALSE),DB_Patients!A:K,11,FALSE)&amp;")"</f>
        <v>98827054 ()</v>
      </c>
      <c r="E67" s="162" t="str">
        <f>VLOOKUP(VLOOKUP(A67,DB_Locations!A:B,2,FALSE),DB_Patients!A:F,6,FALSE)</f>
        <v>BOUHSINA</v>
      </c>
      <c r="F67" s="162" t="str">
        <f>VLOOKUP(VLOOKUP(A67,DB_Locations!A:B,2,FALSE),DB_Patients!A:M,13,FALSE)</f>
        <v>CNAM</v>
      </c>
      <c r="G67" s="162" t="str">
        <f>VLOOKUP(VLOOKUP(A67,DB_Locations!A:B,2,FALSE),DB_Patients!A:L,12,FALSE)</f>
        <v>GARGOURI IMEN</v>
      </c>
      <c r="H67" s="162" t="str">
        <f>VLOOKUP(A67,DB_Locations!A:F,6,FALSE)</f>
        <v>KARIM</v>
      </c>
      <c r="I67" s="162">
        <f>VLOOKUP(A67,DB_Locations!A:G,7,FALSE)</f>
        <v>0</v>
      </c>
      <c r="J67" s="162" t="str">
        <f>VLOOKUP(VLOOKUP(A67,DB_Locations!A:C,3,FALSE),DB_Appareils!A:B,2,FALSE)</f>
        <v>VNI</v>
      </c>
      <c r="K67" s="161">
        <f>VLOOKUP(A67,DB_Locations!A:D,4,FALSE)</f>
        <v>44553</v>
      </c>
      <c r="L67" s="161" cm="1">
        <f t="array" ref="L67">IF(COUNTIF(DB_Paiements!B:B,A67)=0,"",LOOKUP(2,1/(DB_Paiements!B:B=A67),DB_Paiements!D:D))</f>
        <v>45726</v>
      </c>
      <c r="M67" s="161" cm="1">
        <f t="array" ref="M67">IF(COUNTIF(DB_Paiements!B:B,A67)=0,"",LOOKUP(2,1/(DB_Paiements!B:B=A67),DB_Paiements!E:E))</f>
        <v>45909</v>
      </c>
      <c r="N67" s="162" t="str" cm="1">
        <f t="array" ref="N67">IF(COUNTIF(DB_Paiements!B:B,A67)=0,"",LOOKUP(2,1/(DB_Paiements!B:B=A67),DB_Paiements!G:G))</f>
        <v>CNAM</v>
      </c>
      <c r="O67" s="162" cm="1">
        <f t="array" ref="O67">IF(COUNTIF(DB_Paiements!B:B,A67)=0,"",LOOKUP(2,1/(DB_Paiements!B:B=A67),DB_Paiements!F:F))</f>
        <v>2580</v>
      </c>
      <c r="P67" s="160"/>
      <c r="Q67" s="162">
        <f ca="1">IF(M67&lt;&gt;"",TODAY()-M67,"")</f>
        <v>-14</v>
      </c>
      <c r="R67" s="162" t="str">
        <f>VLOOKUP(VLOOKUP(A67,DB_Locations!A:C,3,FALSE),DB_Appareils!A:F,6,FALSE)</f>
        <v>En location</v>
      </c>
      <c r="S67" s="162" t="str">
        <f>VLOOKUP(A67,DB_Locations!A:I,9,FALSE)</f>
        <v>ACTIF</v>
      </c>
      <c r="T67" s="162"/>
      <c r="U67" s="162"/>
      <c r="V67" s="162"/>
      <c r="W67" s="164"/>
    </row>
    <row r="68" spans="1:23" x14ac:dyDescent="0.25">
      <c r="A68" s="162" t="s">
        <v>1503</v>
      </c>
      <c r="B68" s="162" t="str">
        <f>VLOOKUP(VLOOKUP(A68,DB_Locations!A:B,2,FALSE),DB_Patients!A:B,2,FALSE)</f>
        <v>HAMDI ABDELLAH</v>
      </c>
      <c r="C68" s="162" t="str">
        <f>VLOOKUP(VLOOKUP(A68,DB_Locations!A:B,2,FALSE),DB_Patients!A:H,8,FALSE)&amp;IF(VLOOKUP(VLOOKUP(A68,DB_Locations!A:B,2,FALSE),DB_Patients!A:I,9,FALSE)&lt;&gt;""," ("&amp;VLOOKUP(VLOOKUP(A68,DB_Locations!A:B,2,FALSE),DB_Patients!A:I,9,FALSE)&amp;")","")</f>
        <v>29981478</v>
      </c>
      <c r="D68" s="162" t="str">
        <f>VLOOKUP(VLOOKUP(A68,DB_Locations!A:B,2,FALSE),DB_Patients!A:J,10,FALSE)&amp;" ("&amp;VLOOKUP(VLOOKUP(A68,DB_Locations!A:B,2,FALSE),DB_Patients!A:K,11,FALSE)&amp;")"</f>
        <v>55576314 ()</v>
      </c>
      <c r="E68" s="162" t="str">
        <f>VLOOKUP(VLOOKUP(A68,DB_Locations!A:B,2,FALSE),DB_Patients!A:F,6,FALSE)</f>
        <v>CITE ERRIADH</v>
      </c>
      <c r="F68" s="162" t="str">
        <f>VLOOKUP(VLOOKUP(A68,DB_Locations!A:B,2,FALSE),DB_Patients!A:M,13,FALSE)</f>
        <v>CNAM</v>
      </c>
      <c r="G68" s="162" t="str">
        <f>VLOOKUP(VLOOKUP(A68,DB_Locations!A:B,2,FALSE),DB_Patients!A:L,12,FALSE)</f>
        <v>GARGOURI IMEN</v>
      </c>
      <c r="H68" s="162" t="str">
        <f>VLOOKUP(A68,DB_Locations!A:F,6,FALSE)</f>
        <v>KARIM</v>
      </c>
      <c r="I68" s="162">
        <f>VLOOKUP(A68,DB_Locations!A:G,7,FALSE)</f>
        <v>0</v>
      </c>
      <c r="J68" s="162" t="str">
        <f>VLOOKUP(VLOOKUP(A68,DB_Locations!A:C,3,FALSE),DB_Appareils!A:B,2,FALSE)</f>
        <v>VNI</v>
      </c>
      <c r="K68" s="161">
        <f>VLOOKUP(A68,DB_Locations!A:D,4,FALSE)</f>
        <v>45502</v>
      </c>
      <c r="L68" s="161" cm="1">
        <f t="array" aca="1" ref="L68" ca="1">IF(COUNTIF(DB_Paiements!B:B,A68)=0,"",LOOKUP(2,1/(DB_Paiements!B:B=A68),DB_Paiements!D:D))</f>
        <v>45895</v>
      </c>
      <c r="M68" s="161" cm="1">
        <f t="array" ref="M68">IF(COUNTIF(DB_Paiements!B:B,A68)=0,"",LOOKUP(2,1/(DB_Paiements!B:B=A68),DB_Paiements!E:E))</f>
        <v>45502</v>
      </c>
      <c r="N68" s="162" t="str" cm="1">
        <f t="array" ref="N68">IF(COUNTIF(DB_Paiements!B:B,A68)=0,"",LOOKUP(2,1/(DB_Paiements!B:B=A68),DB_Paiements!G:G))</f>
        <v>CNAM</v>
      </c>
      <c r="O68" s="162" cm="1">
        <f t="array" aca="1" ref="O68" ca="1">IF(COUNTIF(DB_Paiements!B:B,A68)=0,"",LOOKUP(2,1/(DB_Paiements!B:B=A68),DB_Paiements!F:F))</f>
        <v>-5590</v>
      </c>
      <c r="P68" s="160"/>
      <c r="Q68" s="162">
        <f ca="1">IF(M68&lt;&gt;"",TODAY()-M68,"")</f>
        <v>393</v>
      </c>
      <c r="R68" s="162" t="str">
        <f>VLOOKUP(VLOOKUP(A68,DB_Locations!A:C,3,FALSE),DB_Appareils!A:F,6,FALSE)</f>
        <v>En location</v>
      </c>
      <c r="S68" s="162" t="str">
        <f>VLOOKUP(A68,DB_Locations!A:I,9,FALSE)</f>
        <v>ACTIF</v>
      </c>
      <c r="T68" s="162"/>
      <c r="U68" s="162"/>
      <c r="V68" s="164" t="str">
        <f ca="1">IF(U68&lt;&gt;"",TODAY()-U68,"")</f>
        <v/>
      </c>
      <c r="W68" s="164"/>
    </row>
    <row r="69" spans="1:23" x14ac:dyDescent="0.25">
      <c r="A69" s="162" t="s">
        <v>1292</v>
      </c>
      <c r="B69" s="162" t="str">
        <f>VLOOKUP(VLOOKUP(A69,DB_Locations!A:B,2,FALSE),DB_Patients!A:B,2,FALSE)</f>
        <v>GHODBHANE BECHIRA</v>
      </c>
      <c r="C69" s="162" t="str">
        <f>VLOOKUP(VLOOKUP(A69,DB_Locations!A:B,2,FALSE),DB_Patients!A:H,8,FALSE)&amp;IF(VLOOKUP(VLOOKUP(A69,DB_Locations!A:B,2,FALSE),DB_Patients!A:I,9,FALSE)&lt;&gt;""," ("&amp;VLOOKUP(VLOOKUP(A69,DB_Locations!A:B,2,FALSE),DB_Patients!A:I,9,FALSE)&amp;")","")</f>
        <v>28059812 (LEILA)</v>
      </c>
      <c r="D69" s="162" t="str">
        <f>VLOOKUP(VLOOKUP(A69,DB_Locations!A:B,2,FALSE),DB_Patients!A:J,10,FALSE)&amp;" ("&amp;VLOOKUP(VLOOKUP(A69,DB_Locations!A:B,2,FALSE),DB_Patients!A:K,11,FALSE)&amp;")"</f>
        <v>97120605 ()</v>
      </c>
      <c r="E69" s="162" t="str">
        <f>VLOOKUP(VLOOKUP(A69,DB_Locations!A:B,2,FALSE),DB_Patients!A:F,6,FALSE)</f>
        <v>SIDI BOU ALI</v>
      </c>
      <c r="F69" s="162" t="str">
        <f>VLOOKUP(VLOOKUP(A69,DB_Locations!A:B,2,FALSE),DB_Patients!A:M,13,FALSE)</f>
        <v>CNAM</v>
      </c>
      <c r="G69" s="162" t="str">
        <f>VLOOKUP(VLOOKUP(A69,DB_Locations!A:B,2,FALSE),DB_Patients!A:L,12,FALSE)</f>
        <v>GARGOURI IMEN</v>
      </c>
      <c r="H69" s="162" t="str">
        <f>VLOOKUP(A69,DB_Locations!A:F,6,FALSE)</f>
        <v>BILEL BOUHLEL</v>
      </c>
      <c r="I69" s="162">
        <f>VLOOKUP(A69,DB_Locations!A:G,7,FALSE)</f>
        <v>0</v>
      </c>
      <c r="J69" s="162" t="str">
        <f>VLOOKUP(VLOOKUP(A69,DB_Locations!A:C,3,FALSE),DB_Appareils!A:B,2,FALSE)</f>
        <v>CONCENTRATEUR O2</v>
      </c>
      <c r="K69" s="161">
        <f>VLOOKUP(A69,DB_Locations!A:D,4,FALSE)</f>
        <v>44534</v>
      </c>
      <c r="L69" s="161" cm="1">
        <f t="array" ref="L69">IF(COUNTIF(DB_Paiements!B:B,A69)=0,"",LOOKUP(2,1/(DB_Paiements!B:B=A69),DB_Paiements!D:D))</f>
        <v>45708</v>
      </c>
      <c r="M69" s="161" cm="1">
        <f t="array" ref="M69">IF(COUNTIF(DB_Paiements!B:B,A69)=0,"",LOOKUP(2,1/(DB_Paiements!B:B=A69),DB_Paiements!E:E))</f>
        <v>45796</v>
      </c>
      <c r="N69" s="162" t="str" cm="1">
        <f t="array" ref="N69">IF(COUNTIF(DB_Paiements!B:B,A69)=0,"",LOOKUP(2,1/(DB_Paiements!B:B=A69),DB_Paiements!G:G))</f>
        <v>CNAM</v>
      </c>
      <c r="O69" s="162" cm="1">
        <f t="array" ref="O69">IF(COUNTIF(DB_Paiements!B:B,A69)=0,"",LOOKUP(2,1/(DB_Paiements!B:B=A69),DB_Paiements!F:F))</f>
        <v>570</v>
      </c>
      <c r="P69" s="160">
        <v>45920</v>
      </c>
      <c r="Q69" s="162">
        <f ca="1">IF(M69&lt;&gt;"",TODAY()-M69,"")</f>
        <v>99</v>
      </c>
      <c r="R69" s="162" t="str">
        <f>VLOOKUP(VLOOKUP(A69,DB_Locations!A:C,3,FALSE),DB_Appareils!A:F,6,FALSE)</f>
        <v xml:space="preserve">En location </v>
      </c>
      <c r="S69" s="162" t="str">
        <f>VLOOKUP(A69,DB_Locations!A:I,9,FALSE)</f>
        <v>Actif</v>
      </c>
      <c r="T69" s="162" t="s">
        <v>2346</v>
      </c>
      <c r="U69" s="162"/>
      <c r="V69" s="164" t="str">
        <f ca="1">IF(U69&lt;&gt;"",TODAY()-U69,"")</f>
        <v/>
      </c>
      <c r="W69" s="164" t="s">
        <v>2437</v>
      </c>
    </row>
    <row r="70" spans="1:23" x14ac:dyDescent="0.25">
      <c r="A70" s="162" t="s">
        <v>1293</v>
      </c>
      <c r="B70" s="162" t="str">
        <f>VLOOKUP(VLOOKUP(A70,DB_Locations!A:B,2,FALSE),DB_Patients!A:B,2,FALSE)</f>
        <v>GHODBHANE BECHIRA</v>
      </c>
      <c r="C70" s="162" t="str">
        <f>VLOOKUP(VLOOKUP(A70,DB_Locations!A:B,2,FALSE),DB_Patients!A:H,8,FALSE)&amp;IF(VLOOKUP(VLOOKUP(A70,DB_Locations!A:B,2,FALSE),DB_Patients!A:I,9,FALSE)&lt;&gt;""," ("&amp;VLOOKUP(VLOOKUP(A70,DB_Locations!A:B,2,FALSE),DB_Patients!A:I,9,FALSE)&amp;")","")</f>
        <v>28059812 (LEILA)</v>
      </c>
      <c r="D70" s="162" t="str">
        <f>VLOOKUP(VLOOKUP(A70,DB_Locations!A:B,2,FALSE),DB_Patients!A:J,10,FALSE)&amp;" ("&amp;VLOOKUP(VLOOKUP(A70,DB_Locations!A:B,2,FALSE),DB_Patients!A:K,11,FALSE)&amp;")"</f>
        <v>97120605 ()</v>
      </c>
      <c r="E70" s="162" t="str">
        <f>VLOOKUP(VLOOKUP(A70,DB_Locations!A:B,2,FALSE),DB_Patients!A:F,6,FALSE)</f>
        <v>SIDI BOU ALI</v>
      </c>
      <c r="F70" s="162" t="str">
        <f>VLOOKUP(VLOOKUP(A70,DB_Locations!A:B,2,FALSE),DB_Patients!A:M,13,FALSE)</f>
        <v>CNAM</v>
      </c>
      <c r="G70" s="162" t="str">
        <f>VLOOKUP(VLOOKUP(A70,DB_Locations!A:B,2,FALSE),DB_Patients!A:L,12,FALSE)</f>
        <v>GARGOURI IMEN</v>
      </c>
      <c r="H70" s="162" t="str">
        <f>VLOOKUP(A70,DB_Locations!A:F,6,FALSE)</f>
        <v>BILEL BOUHLEL</v>
      </c>
      <c r="I70" s="162">
        <f>VLOOKUP(A70,DB_Locations!A:G,7,FALSE)</f>
        <v>0</v>
      </c>
      <c r="J70" s="162" t="str">
        <f>VLOOKUP(VLOOKUP(A70,DB_Locations!A:C,3,FALSE),DB_Appareils!A:B,2,FALSE)</f>
        <v>VNI</v>
      </c>
      <c r="K70" s="161">
        <f>VLOOKUP(A70,DB_Locations!A:D,4,FALSE)</f>
        <v>43484</v>
      </c>
      <c r="L70" s="161" cm="1">
        <f t="array" ref="L70">IF(COUNTIF(DB_Paiements!B:B,A70)=0,"",LOOKUP(2,1/(DB_Paiements!B:B=A70),DB_Paiements!D:D))</f>
        <v>45677</v>
      </c>
      <c r="M70" s="161" cm="1">
        <f t="array" ref="M70">IF(COUNTIF(DB_Paiements!B:B,A70)=0,"",LOOKUP(2,1/(DB_Paiements!B:B=A70),DB_Paiements!E:E))</f>
        <v>45857</v>
      </c>
      <c r="N70" s="162" t="str" cm="1">
        <f t="array" ref="N70">IF(COUNTIF(DB_Paiements!B:B,A70)=0,"",LOOKUP(2,1/(DB_Paiements!B:B=A70),DB_Paiements!G:G))</f>
        <v>CNAM</v>
      </c>
      <c r="O70" s="162" cm="1">
        <f t="array" ref="O70">IF(COUNTIF(DB_Paiements!B:B,A70)=0,"",LOOKUP(2,1/(DB_Paiements!B:B=A70),DB_Paiements!F:F))</f>
        <v>2580</v>
      </c>
      <c r="P70" s="160">
        <v>45920</v>
      </c>
      <c r="Q70" s="162">
        <f ca="1">IF(M70&lt;&gt;"",TODAY()-M70,"")</f>
        <v>38</v>
      </c>
      <c r="R70" s="162" t="str">
        <f>VLOOKUP(VLOOKUP(A70,DB_Locations!A:C,3,FALSE),DB_Appareils!A:F,6,FALSE)</f>
        <v xml:space="preserve">En location </v>
      </c>
      <c r="S70" s="162" t="str">
        <f>VLOOKUP(A70,DB_Locations!A:I,9,FALSE)</f>
        <v>Actif</v>
      </c>
      <c r="T70" s="162" t="s">
        <v>2346</v>
      </c>
      <c r="U70" s="162"/>
      <c r="V70" s="164" t="str">
        <f ca="1">IF(U70&lt;&gt;"",TODAY()-U70,"")</f>
        <v/>
      </c>
      <c r="W70" s="164" t="s">
        <v>2437</v>
      </c>
    </row>
    <row r="71" spans="1:23" x14ac:dyDescent="0.25">
      <c r="A71" s="162" t="s">
        <v>1444</v>
      </c>
      <c r="B71" s="162" t="str">
        <f>VLOOKUP(VLOOKUP(A71,DB_Locations!A:B,2,FALSE),DB_Patients!A:B,2,FALSE)</f>
        <v>HABIB SMIDA</v>
      </c>
      <c r="C71" s="162" t="str">
        <f>VLOOKUP(VLOOKUP(A71,DB_Locations!A:B,2,FALSE),DB_Patients!A:H,8,FALSE)&amp;IF(VLOOKUP(VLOOKUP(A71,DB_Locations!A:B,2,FALSE),DB_Patients!A:I,9,FALSE)&lt;&gt;""," ("&amp;VLOOKUP(VLOOKUP(A71,DB_Locations!A:B,2,FALSE),DB_Patients!A:I,9,FALSE)&amp;")","")</f>
        <v>99618719</v>
      </c>
      <c r="D71" s="162" t="str">
        <f>VLOOKUP(VLOOKUP(A71,DB_Locations!A:B,2,FALSE),DB_Patients!A:J,10,FALSE)&amp;" ("&amp;VLOOKUP(VLOOKUP(A71,DB_Locations!A:B,2,FALSE),DB_Patients!A:K,11,FALSE)&amp;")"</f>
        <v xml:space="preserve"> ()</v>
      </c>
      <c r="E71" s="162" t="str">
        <f>VLOOKUP(VLOOKUP(A71,DB_Locations!A:B,2,FALSE),DB_Patients!A:F,6,FALSE)</f>
        <v>HAMMEM SOUSSE</v>
      </c>
      <c r="F71" s="162" t="str">
        <f>VLOOKUP(VLOOKUP(A71,DB_Locations!A:B,2,FALSE),DB_Patients!A:M,13,FALSE)</f>
        <v>CNAM</v>
      </c>
      <c r="G71" s="162" t="str">
        <f>VLOOKUP(VLOOKUP(A71,DB_Locations!A:B,2,FALSE),DB_Patients!A:L,12,FALSE)</f>
        <v>ITEB BEN LIMAM</v>
      </c>
      <c r="H71" s="162" t="str">
        <f>VLOOKUP(A71,DB_Locations!A:F,6,FALSE)</f>
        <v>KARIM</v>
      </c>
      <c r="I71" s="162">
        <f>VLOOKUP(A71,DB_Locations!A:G,7,FALSE)</f>
        <v>0</v>
      </c>
      <c r="J71" s="162" t="str">
        <f>VLOOKUP(VLOOKUP(A71,DB_Locations!A:C,3,FALSE),DB_Appareils!A:B,2,FALSE)</f>
        <v>CONCENTRATEUR O2</v>
      </c>
      <c r="K71" s="161">
        <f>VLOOKUP(A71,DB_Locations!A:D,4,FALSE)</f>
        <v>45730</v>
      </c>
      <c r="L71" s="161" cm="1">
        <f t="array" ref="L71">IF(COUNTIF(DB_Paiements!B:B,A71)=0,"",LOOKUP(2,1/(DB_Paiements!B:B=A71),DB_Paiements!D:D))</f>
        <v>45744</v>
      </c>
      <c r="M71" s="161" cm="1">
        <f t="array" ref="M71">IF(COUNTIF(DB_Paiements!B:B,A71)=0,"",LOOKUP(2,1/(DB_Paiements!B:B=A71),DB_Paiements!E:E))</f>
        <v>45835</v>
      </c>
      <c r="N71" s="162" t="str" cm="1">
        <f t="array" ref="N71">IF(COUNTIF(DB_Paiements!B:B,A71)=0,"",LOOKUP(2,1/(DB_Paiements!B:B=A71),DB_Paiements!G:G))</f>
        <v>CNAM</v>
      </c>
      <c r="O71" s="162" cm="1">
        <f t="array" ref="O71">IF(COUNTIF(DB_Paiements!B:B,A71)=0,"",LOOKUP(2,1/(DB_Paiements!B:B=A71),DB_Paiements!F:F))</f>
        <v>570</v>
      </c>
      <c r="P71" s="160"/>
      <c r="Q71" s="162">
        <f ca="1">IF(M71&lt;&gt;"",TODAY()-M71,"")</f>
        <v>60</v>
      </c>
      <c r="R71" s="162" t="str">
        <f>VLOOKUP(VLOOKUP(A71,DB_Locations!A:C,3,FALSE),DB_Appareils!A:F,6,FALSE)</f>
        <v>En location</v>
      </c>
      <c r="S71" s="162" t="str">
        <f>VLOOKUP(A71,DB_Locations!A:I,9,FALSE)</f>
        <v>Actif</v>
      </c>
      <c r="T71" s="162"/>
      <c r="U71" s="162"/>
      <c r="V71" s="164" t="str">
        <f ca="1">IF(U71&lt;&gt;"",TODAY()-U71,"")</f>
        <v/>
      </c>
      <c r="W71" s="164"/>
    </row>
    <row r="72" spans="1:23" x14ac:dyDescent="0.25">
      <c r="A72" s="162" t="s">
        <v>1445</v>
      </c>
      <c r="B72" s="162" t="str">
        <f>VLOOKUP(VLOOKUP(A72,DB_Locations!A:B,2,FALSE),DB_Patients!A:B,2,FALSE)</f>
        <v>BRAHEM KAMEL</v>
      </c>
      <c r="C72" s="162" t="str">
        <f>VLOOKUP(VLOOKUP(A72,DB_Locations!A:B,2,FALSE),DB_Patients!A:H,8,FALSE)&amp;IF(VLOOKUP(VLOOKUP(A72,DB_Locations!A:B,2,FALSE),DB_Patients!A:I,9,FALSE)&lt;&gt;""," ("&amp;VLOOKUP(VLOOKUP(A72,DB_Locations!A:B,2,FALSE),DB_Patients!A:I,9,FALSE)&amp;")","")</f>
        <v>98297569</v>
      </c>
      <c r="D72" s="162" t="str">
        <f>VLOOKUP(VLOOKUP(A72,DB_Locations!A:B,2,FALSE),DB_Patients!A:J,10,FALSE)&amp;" ("&amp;VLOOKUP(VLOOKUP(A72,DB_Locations!A:B,2,FALSE),DB_Patients!A:K,11,FALSE)&amp;")"</f>
        <v xml:space="preserve"> ()</v>
      </c>
      <c r="E72" s="162" t="str">
        <f>VLOOKUP(VLOOKUP(A72,DB_Locations!A:B,2,FALSE),DB_Patients!A:F,6,FALSE)</f>
        <v>MSAKEN</v>
      </c>
      <c r="F72" s="162" t="str">
        <f>VLOOKUP(VLOOKUP(A72,DB_Locations!A:B,2,FALSE),DB_Patients!A:M,13,FALSE)</f>
        <v>CNAM</v>
      </c>
      <c r="G72" s="162" t="str">
        <f>VLOOKUP(VLOOKUP(A72,DB_Locations!A:B,2,FALSE),DB_Patients!A:L,12,FALSE)</f>
        <v>IMEN MJANDEL</v>
      </c>
      <c r="H72" s="162" t="str">
        <f>VLOOKUP(A72,DB_Locations!A:F,6,FALSE)</f>
        <v>BILEL BOUHLEL</v>
      </c>
      <c r="I72" s="162">
        <f>VLOOKUP(A72,DB_Locations!A:G,7,FALSE)</f>
        <v>0</v>
      </c>
      <c r="J72" s="162" t="str">
        <f>VLOOKUP(VLOOKUP(A72,DB_Locations!A:C,3,FALSE),DB_Appareils!A:B,2,FALSE)</f>
        <v>CONCENTRATEUR O2</v>
      </c>
      <c r="K72" s="161">
        <f>VLOOKUP(A72,DB_Locations!A:D,4,FALSE)</f>
        <v>45738</v>
      </c>
      <c r="L72" s="161" cm="1">
        <f t="array" ref="L72">IF(COUNTIF(DB_Paiements!B:B,A72)=0,"",LOOKUP(2,1/(DB_Paiements!B:B=A72),DB_Paiements!D:D))</f>
        <v>45829</v>
      </c>
      <c r="M72" s="161" cm="1">
        <f t="array" ref="M72">IF(COUNTIF(DB_Paiements!B:B,A72)=0,"",LOOKUP(2,1/(DB_Paiements!B:B=A72),DB_Paiements!E:E))</f>
        <v>45920</v>
      </c>
      <c r="N72" s="162" t="str" cm="1">
        <f t="array" ref="N72">IF(COUNTIF(DB_Paiements!B:B,A72)=0,"",LOOKUP(2,1/(DB_Paiements!B:B=A72),DB_Paiements!G:G))</f>
        <v>CNAM</v>
      </c>
      <c r="O72" s="162" cm="1">
        <f t="array" ref="O72">IF(COUNTIF(DB_Paiements!B:B,A72)=0,"",LOOKUP(2,1/(DB_Paiements!B:B=A72),DB_Paiements!F:F))</f>
        <v>570</v>
      </c>
      <c r="P72" s="160"/>
      <c r="Q72" s="162">
        <f ca="1">IF(M72&lt;&gt;"",TODAY()-M72,"")</f>
        <v>-25</v>
      </c>
      <c r="R72" s="162" t="str">
        <f>VLOOKUP(VLOOKUP(A72,DB_Locations!A:C,3,FALSE),DB_Appareils!A:F,6,FALSE)</f>
        <v xml:space="preserve">En location </v>
      </c>
      <c r="S72" s="162" t="str">
        <f>VLOOKUP(A72,DB_Locations!A:I,9,FALSE)</f>
        <v>Actif</v>
      </c>
      <c r="T72" s="162"/>
      <c r="U72" s="162"/>
      <c r="V72" s="162"/>
      <c r="W72" s="164"/>
    </row>
    <row r="73" spans="1:23" x14ac:dyDescent="0.25">
      <c r="A73" s="162" t="s">
        <v>1446</v>
      </c>
      <c r="B73" s="162" t="str">
        <f>VLOOKUP(VLOOKUP(A73,DB_Locations!A:B,2,FALSE),DB_Patients!A:B,2,FALSE)</f>
        <v>ABID MAHBOUBA</v>
      </c>
      <c r="C73" s="162" t="str">
        <f>VLOOKUP(VLOOKUP(A73,DB_Locations!A:B,2,FALSE),DB_Patients!A:H,8,FALSE)&amp;IF(VLOOKUP(VLOOKUP(A73,DB_Locations!A:B,2,FALSE),DB_Patients!A:I,9,FALSE)&lt;&gt;""," ("&amp;VLOOKUP(VLOOKUP(A73,DB_Locations!A:B,2,FALSE),DB_Patients!A:I,9,FALSE)&amp;")","")</f>
        <v>54880357 (96762348)</v>
      </c>
      <c r="D73" s="162" t="str">
        <f>VLOOKUP(VLOOKUP(A73,DB_Locations!A:B,2,FALSE),DB_Patients!A:J,10,FALSE)&amp;" ("&amp;VLOOKUP(VLOOKUP(A73,DB_Locations!A:B,2,FALSE),DB_Patients!A:K,11,FALSE)&amp;")"</f>
        <v>92847799 (21115772)</v>
      </c>
      <c r="E73" s="162" t="str">
        <f>VLOOKUP(VLOOKUP(A73,DB_Locations!A:B,2,FALSE),DB_Patients!A:F,6,FALSE)</f>
        <v>KALAA KBIRA</v>
      </c>
      <c r="F73" s="162" t="str">
        <f>VLOOKUP(VLOOKUP(A73,DB_Locations!A:B,2,FALSE),DB_Patients!A:M,13,FALSE)</f>
        <v>CNAM</v>
      </c>
      <c r="G73" s="162" t="str">
        <f>VLOOKUP(VLOOKUP(A73,DB_Locations!A:B,2,FALSE),DB_Patients!A:L,12,FALSE)</f>
        <v>SANA AISSA</v>
      </c>
      <c r="H73" s="162" t="str">
        <f>VLOOKUP(A73,DB_Locations!A:F,6,FALSE)</f>
        <v>KARIM</v>
      </c>
      <c r="I73" s="162">
        <f>VLOOKUP(A73,DB_Locations!A:G,7,FALSE)</f>
        <v>0</v>
      </c>
      <c r="J73" s="162" t="str">
        <f>VLOOKUP(VLOOKUP(A73,DB_Locations!A:C,3,FALSE),DB_Appareils!A:B,2,FALSE)</f>
        <v>CONCENTRATEUR O2</v>
      </c>
      <c r="K73" s="161">
        <f>VLOOKUP(A73,DB_Locations!A:D,4,FALSE)</f>
        <v>45744</v>
      </c>
      <c r="L73" s="161" cm="1">
        <f t="array" ref="L73">IF(COUNTIF(DB_Paiements!B:B,A73)=0,"",LOOKUP(2,1/(DB_Paiements!B:B=A73),DB_Paiements!D:D))</f>
        <v>45744</v>
      </c>
      <c r="M73" s="161" cm="1">
        <f t="array" ref="M73">IF(COUNTIF(DB_Paiements!B:B,A73)=0,"",LOOKUP(2,1/(DB_Paiements!B:B=A73),DB_Paiements!E:E))</f>
        <v>45835</v>
      </c>
      <c r="N73" s="162" t="str" cm="1">
        <f t="array" ref="N73">IF(COUNTIF(DB_Paiements!B:B,A73)=0,"",LOOKUP(2,1/(DB_Paiements!B:B=A73),DB_Paiements!G:G))</f>
        <v>CNAM</v>
      </c>
      <c r="O73" s="162" cm="1">
        <f t="array" ref="O73">IF(COUNTIF(DB_Paiements!B:B,A73)=0,"",LOOKUP(2,1/(DB_Paiements!B:B=A73),DB_Paiements!F:F))</f>
        <v>570</v>
      </c>
      <c r="P73" s="160"/>
      <c r="Q73" s="162">
        <f ca="1">IF(M73&lt;&gt;"",TODAY()-M73,"")</f>
        <v>60</v>
      </c>
      <c r="R73" s="162" t="str">
        <f>VLOOKUP(VLOOKUP(A73,DB_Locations!A:C,3,FALSE),DB_Appareils!A:F,6,FALSE)</f>
        <v>En location</v>
      </c>
      <c r="S73" s="162" t="str">
        <f>VLOOKUP(A73,DB_Locations!A:I,9,FALSE)</f>
        <v>Actif</v>
      </c>
      <c r="T73" s="162"/>
      <c r="U73" s="162"/>
      <c r="V73" s="164" t="str">
        <f ca="1">IF(U73&lt;&gt;"",TODAY()-U73,"")</f>
        <v/>
      </c>
      <c r="W73" s="164"/>
    </row>
    <row r="74" spans="1:23" x14ac:dyDescent="0.25">
      <c r="A74" s="162" t="s">
        <v>1447</v>
      </c>
      <c r="B74" s="162" t="str">
        <f>VLOOKUP(VLOOKUP(A74,DB_Locations!A:B,2,FALSE),DB_Patients!A:B,2,FALSE)</f>
        <v>ABID MAHBOUBA</v>
      </c>
      <c r="C74" s="162" t="str">
        <f>VLOOKUP(VLOOKUP(A74,DB_Locations!A:B,2,FALSE),DB_Patients!A:H,8,FALSE)&amp;IF(VLOOKUP(VLOOKUP(A74,DB_Locations!A:B,2,FALSE),DB_Patients!A:I,9,FALSE)&lt;&gt;""," ("&amp;VLOOKUP(VLOOKUP(A74,DB_Locations!A:B,2,FALSE),DB_Patients!A:I,9,FALSE)&amp;")","")</f>
        <v>54880357 (96762348)</v>
      </c>
      <c r="D74" s="162" t="str">
        <f>VLOOKUP(VLOOKUP(A74,DB_Locations!A:B,2,FALSE),DB_Patients!A:J,10,FALSE)&amp;" ("&amp;VLOOKUP(VLOOKUP(A74,DB_Locations!A:B,2,FALSE),DB_Patients!A:K,11,FALSE)&amp;")"</f>
        <v>92847799 (21115772)</v>
      </c>
      <c r="E74" s="162" t="str">
        <f>VLOOKUP(VLOOKUP(A74,DB_Locations!A:B,2,FALSE),DB_Patients!A:F,6,FALSE)</f>
        <v>KALAA KBIRA</v>
      </c>
      <c r="F74" s="162" t="str">
        <f>VLOOKUP(VLOOKUP(A74,DB_Locations!A:B,2,FALSE),DB_Patients!A:M,13,FALSE)</f>
        <v>CNAM</v>
      </c>
      <c r="G74" s="162" t="str">
        <f>VLOOKUP(VLOOKUP(A74,DB_Locations!A:B,2,FALSE),DB_Patients!A:L,12,FALSE)</f>
        <v>SANA AISSA</v>
      </c>
      <c r="H74" s="162" t="str">
        <f>VLOOKUP(A74,DB_Locations!A:F,6,FALSE)</f>
        <v>KARIM</v>
      </c>
      <c r="I74" s="162">
        <f>VLOOKUP(A74,DB_Locations!A:G,7,FALSE)</f>
        <v>0</v>
      </c>
      <c r="J74" s="162" t="str">
        <f>VLOOKUP(VLOOKUP(A74,DB_Locations!A:C,3,FALSE),DB_Appareils!A:B,2,FALSE)</f>
        <v>VNI</v>
      </c>
      <c r="K74" s="161">
        <f>VLOOKUP(A74,DB_Locations!A:D,4,FALSE)</f>
        <v>45724</v>
      </c>
      <c r="L74" s="161" cm="1">
        <f t="array" ref="L74">IF(COUNTIF(DB_Paiements!B:B,A74)=0,"",LOOKUP(2,1/(DB_Paiements!B:B=A74),DB_Paiements!D:D))</f>
        <v>45767</v>
      </c>
      <c r="M74" s="161" cm="1">
        <f t="array" ref="M74">IF(COUNTIF(DB_Paiements!B:B,A74)=0,"",LOOKUP(2,1/(DB_Paiements!B:B=A74),DB_Paiements!E:E))</f>
        <v>45857</v>
      </c>
      <c r="N74" s="162" t="str" cm="1">
        <f t="array" ref="N74">IF(COUNTIF(DB_Paiements!B:B,A74)=0,"",LOOKUP(2,1/(DB_Paiements!B:B=A74),DB_Paiements!G:G))</f>
        <v>CNAM</v>
      </c>
      <c r="O74" s="162" cm="1">
        <f t="array" ref="O74">IF(COUNTIF(DB_Paiements!B:B,A74)=0,"",LOOKUP(2,1/(DB_Paiements!B:B=A74),DB_Paiements!F:F))</f>
        <v>1290</v>
      </c>
      <c r="P74" s="160"/>
      <c r="Q74" s="162">
        <f ca="1">IF(M74&lt;&gt;"",TODAY()-M74,"")</f>
        <v>38</v>
      </c>
      <c r="R74" s="162" t="str">
        <f>VLOOKUP(VLOOKUP(A74,DB_Locations!A:C,3,FALSE),DB_Appareils!A:F,6,FALSE)</f>
        <v>En location</v>
      </c>
      <c r="S74" s="162" t="str">
        <f>VLOOKUP(A74,DB_Locations!A:I,9,FALSE)</f>
        <v>Actif</v>
      </c>
      <c r="T74" s="162"/>
      <c r="U74" s="162"/>
      <c r="V74" s="164" t="str">
        <f ca="1">IF(U74&lt;&gt;"",TODAY()-U74,"")</f>
        <v/>
      </c>
      <c r="W74" s="164"/>
    </row>
    <row r="75" spans="1:23" x14ac:dyDescent="0.25">
      <c r="A75" s="162" t="s">
        <v>1448</v>
      </c>
      <c r="B75" s="162" t="str">
        <f>VLOOKUP(VLOOKUP(A75,DB_Locations!A:B,2,FALSE),DB_Patients!A:B,2,FALSE)</f>
        <v>OTHMEN FITOURI</v>
      </c>
      <c r="C75" s="162" t="str">
        <f>VLOOKUP(VLOOKUP(A75,DB_Locations!A:B,2,FALSE),DB_Patients!A:H,8,FALSE)&amp;IF(VLOOKUP(VLOOKUP(A75,DB_Locations!A:B,2,FALSE),DB_Patients!A:I,9,FALSE)&lt;&gt;""," ("&amp;VLOOKUP(VLOOKUP(A75,DB_Locations!A:B,2,FALSE),DB_Patients!A:I,9,FALSE)&amp;")","")</f>
        <v>99969405 (20867218)</v>
      </c>
      <c r="D75" s="162" t="str">
        <f>VLOOKUP(VLOOKUP(A75,DB_Locations!A:B,2,FALSE),DB_Patients!A:J,10,FALSE)&amp;" ("&amp;VLOOKUP(VLOOKUP(A75,DB_Locations!A:B,2,FALSE),DB_Patients!A:K,11,FALSE)&amp;")"</f>
        <v>22133373 ()</v>
      </c>
      <c r="E75" s="162" t="str">
        <f>VLOOKUP(VLOOKUP(A75,DB_Locations!A:B,2,FALSE),DB_Patients!A:F,6,FALSE)</f>
        <v>TLELSSA</v>
      </c>
      <c r="F75" s="162" t="str">
        <f>VLOOKUP(VLOOKUP(A75,DB_Locations!A:B,2,FALSE),DB_Patients!A:M,13,FALSE)</f>
        <v>CNAM</v>
      </c>
      <c r="G75" s="162" t="str">
        <f>VLOOKUP(VLOOKUP(A75,DB_Locations!A:B,2,FALSE),DB_Patients!A:L,12,FALSE)</f>
        <v>WAHID BRAHEM</v>
      </c>
      <c r="H75" s="162" t="str">
        <f>VLOOKUP(A75,DB_Locations!A:F,6,FALSE)</f>
        <v>KARIM</v>
      </c>
      <c r="I75" s="162">
        <f>VLOOKUP(A75,DB_Locations!A:G,7,FALSE)</f>
        <v>0</v>
      </c>
      <c r="J75" s="162" t="str">
        <f>VLOOKUP(VLOOKUP(A75,DB_Locations!A:C,3,FALSE),DB_Appareils!A:B,2,FALSE)</f>
        <v>CONCENTRATEUR O2+BO2 APP0187</v>
      </c>
      <c r="K75" s="161">
        <f>VLOOKUP(A75,DB_Locations!A:D,4,FALSE)</f>
        <v>45792</v>
      </c>
      <c r="L75" s="161" cm="1">
        <f t="array" ref="L75">IF(COUNTIF(DB_Paiements!B:B,A75)=0,"",LOOKUP(2,1/(DB_Paiements!B:B=A75),DB_Paiements!D:D))</f>
        <v>45792</v>
      </c>
      <c r="M75" s="161" cm="1">
        <f t="array" ref="M75">IF(COUNTIF(DB_Paiements!B:B,A75)=0,"",LOOKUP(2,1/(DB_Paiements!B:B=A75),DB_Paiements!E:E))</f>
        <v>45883</v>
      </c>
      <c r="N75" s="162" t="str" cm="1">
        <f t="array" ref="N75">IF(COUNTIF(DB_Paiements!B:B,A75)=0,"",LOOKUP(2,1/(DB_Paiements!B:B=A75),DB_Paiements!G:G))</f>
        <v>CNAM</v>
      </c>
      <c r="O75" s="162" cm="1">
        <f t="array" ref="O75">IF(COUNTIF(DB_Paiements!B:B,A75)=0,"",LOOKUP(2,1/(DB_Paiements!B:B=A75),DB_Paiements!F:F))</f>
        <v>570</v>
      </c>
      <c r="P75" s="160" t="s">
        <v>2132</v>
      </c>
      <c r="Q75" s="162">
        <f ca="1">IF(M75&lt;&gt;"",TODAY()-M75,"")</f>
        <v>12</v>
      </c>
      <c r="R75" s="162" t="str">
        <f>VLOOKUP(VLOOKUP(A75,DB_Locations!A:C,3,FALSE),DB_Appareils!A:F,6,FALSE)</f>
        <v>En location</v>
      </c>
      <c r="S75" s="162" t="str">
        <f>VLOOKUP(A75,DB_Locations!A:I,9,FALSE)</f>
        <v>Actif</v>
      </c>
      <c r="T75" s="162"/>
      <c r="U75" s="162"/>
      <c r="V75" s="164" t="str">
        <f ca="1">IF(U75&lt;&gt;"",TODAY()-U75,"")</f>
        <v/>
      </c>
      <c r="W75" s="164" t="s">
        <v>2131</v>
      </c>
    </row>
    <row r="76" spans="1:23" x14ac:dyDescent="0.25">
      <c r="A76" s="162" t="s">
        <v>1427</v>
      </c>
      <c r="B76" s="162" t="str">
        <f>VLOOKUP(VLOOKUP(A76,DB_Locations!A:B,2,FALSE),DB_Patients!A:B,2,FALSE)</f>
        <v>CHNITI AMOR</v>
      </c>
      <c r="C76" s="162" t="str">
        <f>VLOOKUP(VLOOKUP(A76,DB_Locations!A:B,2,FALSE),DB_Patients!A:H,8,FALSE)&amp;IF(VLOOKUP(VLOOKUP(A76,DB_Locations!A:B,2,FALSE),DB_Patients!A:I,9,FALSE)&lt;&gt;""," ("&amp;VLOOKUP(VLOOKUP(A76,DB_Locations!A:B,2,FALSE),DB_Patients!A:I,9,FALSE)&amp;")","")</f>
        <v>96922955 (FILS)</v>
      </c>
      <c r="D76" s="162" t="str">
        <f>VLOOKUP(VLOOKUP(A76,DB_Locations!A:B,2,FALSE),DB_Patients!A:J,10,FALSE)&amp;" ("&amp;VLOOKUP(VLOOKUP(A76,DB_Locations!A:B,2,FALSE),DB_Patients!A:K,11,FALSE)&amp;")"</f>
        <v>93251211 ()</v>
      </c>
      <c r="E76" s="162" t="str">
        <f>VLOOKUP(VLOOKUP(A76,DB_Locations!A:B,2,FALSE),DB_Patients!A:F,6,FALSE)</f>
        <v>BOUHSINA</v>
      </c>
      <c r="F76" s="162" t="str">
        <f>VLOOKUP(VLOOKUP(A76,DB_Locations!A:B,2,FALSE),DB_Patients!A:M,13,FALSE)</f>
        <v>CNAM</v>
      </c>
      <c r="G76" s="162" t="str">
        <f>VLOOKUP(VLOOKUP(A76,DB_Locations!A:B,2,FALSE),DB_Patients!A:L,12,FALSE)</f>
        <v>GARGOURI IMEN</v>
      </c>
      <c r="H76" s="162" t="str">
        <f>VLOOKUP(A76,DB_Locations!A:F,6,FALSE)</f>
        <v>KARIM</v>
      </c>
      <c r="I76" s="162">
        <f>VLOOKUP(A76,DB_Locations!A:G,7,FALSE)</f>
        <v>0</v>
      </c>
      <c r="J76" s="162" t="str">
        <f>VLOOKUP(VLOOKUP(A76,DB_Locations!A:C,3,FALSE),DB_Appareils!A:B,2,FALSE)</f>
        <v>CONCENTRATEUR O2</v>
      </c>
      <c r="K76" s="161">
        <f>VLOOKUP(A76,DB_Locations!A:D,4,FALSE)</f>
        <v>45672</v>
      </c>
      <c r="L76" s="161" cm="1">
        <f t="array" ref="L76">IF(COUNTIF(DB_Paiements!B:B,A76)=0,"",LOOKUP(2,1/(DB_Paiements!B:B=A76),DB_Paiements!D:D))</f>
        <v>45782</v>
      </c>
      <c r="M76" s="161" cm="1">
        <f t="array" ref="M76">IF(COUNTIF(DB_Paiements!B:B,A76)=0,"",LOOKUP(2,1/(DB_Paiements!B:B=A76),DB_Paiements!E:E))</f>
        <v>45873</v>
      </c>
      <c r="N76" s="162" t="str" cm="1">
        <f t="array" ref="N76">IF(COUNTIF(DB_Paiements!B:B,A76)=0,"",LOOKUP(2,1/(DB_Paiements!B:B=A76),DB_Paiements!G:G))</f>
        <v>CNAM</v>
      </c>
      <c r="O76" s="162" cm="1">
        <f t="array" ref="O76">IF(COUNTIF(DB_Paiements!B:B,A76)=0,"",LOOKUP(2,1/(DB_Paiements!B:B=A76),DB_Paiements!F:F))</f>
        <v>570</v>
      </c>
      <c r="P76" s="160"/>
      <c r="Q76" s="162">
        <f ca="1">IF(M76&lt;&gt;"",TODAY()-M76,"")</f>
        <v>22</v>
      </c>
      <c r="R76" s="162" t="str">
        <f>VLOOKUP(VLOOKUP(A76,DB_Locations!A:C,3,FALSE),DB_Appareils!A:F,6,FALSE)</f>
        <v>En location</v>
      </c>
      <c r="S76" s="162" t="str">
        <f>VLOOKUP(A76,DB_Locations!A:I,9,FALSE)</f>
        <v>Actif</v>
      </c>
      <c r="T76" s="162"/>
      <c r="U76" s="162"/>
      <c r="V76" s="164" t="str">
        <f ca="1">IF(U76&lt;&gt;"",TODAY()-U76,"")</f>
        <v/>
      </c>
      <c r="W76" s="164" t="s">
        <v>2392</v>
      </c>
    </row>
    <row r="77" spans="1:23" x14ac:dyDescent="0.25">
      <c r="A77" s="162" t="s">
        <v>1428</v>
      </c>
      <c r="B77" s="162" t="str">
        <f>VLOOKUP(VLOOKUP(A77,DB_Locations!A:B,2,FALSE),DB_Patients!A:B,2,FALSE)</f>
        <v>CHNITI AMOR</v>
      </c>
      <c r="C77" s="162" t="str">
        <f>VLOOKUP(VLOOKUP(A77,DB_Locations!A:B,2,FALSE),DB_Patients!A:H,8,FALSE)&amp;IF(VLOOKUP(VLOOKUP(A77,DB_Locations!A:B,2,FALSE),DB_Patients!A:I,9,FALSE)&lt;&gt;""," ("&amp;VLOOKUP(VLOOKUP(A77,DB_Locations!A:B,2,FALSE),DB_Patients!A:I,9,FALSE)&amp;")","")</f>
        <v>96922955 (FILS)</v>
      </c>
      <c r="D77" s="162" t="str">
        <f>VLOOKUP(VLOOKUP(A77,DB_Locations!A:B,2,FALSE),DB_Patients!A:J,10,FALSE)&amp;" ("&amp;VLOOKUP(VLOOKUP(A77,DB_Locations!A:B,2,FALSE),DB_Patients!A:K,11,FALSE)&amp;")"</f>
        <v>93251211 ()</v>
      </c>
      <c r="E77" s="162" t="str">
        <f>VLOOKUP(VLOOKUP(A77,DB_Locations!A:B,2,FALSE),DB_Patients!A:F,6,FALSE)</f>
        <v>BOUHSINA</v>
      </c>
      <c r="F77" s="162" t="str">
        <f>VLOOKUP(VLOOKUP(A77,DB_Locations!A:B,2,FALSE),DB_Patients!A:M,13,FALSE)</f>
        <v>CNAM</v>
      </c>
      <c r="G77" s="162" t="str">
        <f>VLOOKUP(VLOOKUP(A77,DB_Locations!A:B,2,FALSE),DB_Patients!A:L,12,FALSE)</f>
        <v>GARGOURI IMEN</v>
      </c>
      <c r="H77" s="162" t="str">
        <f>VLOOKUP(A77,DB_Locations!A:F,6,FALSE)</f>
        <v>KARIM</v>
      </c>
      <c r="I77" s="162">
        <f>VLOOKUP(A77,DB_Locations!A:G,7,FALSE)</f>
        <v>0</v>
      </c>
      <c r="J77" s="162" t="str">
        <f>VLOOKUP(VLOOKUP(A77,DB_Locations!A:C,3,FALSE),DB_Appareils!A:B,2,FALSE)</f>
        <v>VNI</v>
      </c>
      <c r="K77" s="161">
        <f>VLOOKUP(A77,DB_Locations!A:D,4,FALSE)</f>
        <v>45672</v>
      </c>
      <c r="L77" s="161" cm="1">
        <f t="array" ref="L77">IF(COUNTIF(DB_Paiements!B:B,A77)=0,"",LOOKUP(2,1/(DB_Paiements!B:B=A77),DB_Paiements!D:D))</f>
        <v>45783</v>
      </c>
      <c r="M77" s="161" cm="1">
        <f t="array" ref="M77">IF(COUNTIF(DB_Paiements!B:B,A77)=0,"",LOOKUP(2,1/(DB_Paiements!B:B=A77),DB_Paiements!E:E))</f>
        <v>45966</v>
      </c>
      <c r="N77" s="162" t="str" cm="1">
        <f t="array" ref="N77">IF(COUNTIF(DB_Paiements!B:B,A77)=0,"",LOOKUP(2,1/(DB_Paiements!B:B=A77),DB_Paiements!G:G))</f>
        <v>CNAM</v>
      </c>
      <c r="O77" s="162" cm="1">
        <f t="array" ref="O77">IF(COUNTIF(DB_Paiements!B:B,A77)=0,"",LOOKUP(2,1/(DB_Paiements!B:B=A77),DB_Paiements!F:F))</f>
        <v>2580</v>
      </c>
      <c r="P77" s="160"/>
      <c r="Q77" s="162">
        <f ca="1">IF(M77&lt;&gt;"",TODAY()-M77,"")</f>
        <v>-71</v>
      </c>
      <c r="R77" s="162" t="str">
        <f>VLOOKUP(VLOOKUP(A77,DB_Locations!A:C,3,FALSE),DB_Appareils!A:F,6,FALSE)</f>
        <v xml:space="preserve">En location </v>
      </c>
      <c r="S77" s="162" t="str">
        <f>VLOOKUP(A77,DB_Locations!A:I,9,FALSE)</f>
        <v>Actif</v>
      </c>
      <c r="T77" s="162"/>
      <c r="U77" s="162"/>
      <c r="V77" s="162"/>
      <c r="W77" s="164"/>
    </row>
    <row r="78" spans="1:23" x14ac:dyDescent="0.25">
      <c r="A78" s="162" t="s">
        <v>1451</v>
      </c>
      <c r="B78" s="162" t="str">
        <f>VLOOKUP(VLOOKUP(A78,DB_Locations!A:B,2,FALSE),DB_Patients!A:B,2,FALSE)</f>
        <v>BRAHIM REGAYA</v>
      </c>
      <c r="C78" s="162" t="str">
        <f>VLOOKUP(VLOOKUP(A78,DB_Locations!A:B,2,FALSE),DB_Patients!A:H,8,FALSE)&amp;IF(VLOOKUP(VLOOKUP(A78,DB_Locations!A:B,2,FALSE),DB_Patients!A:I,9,FALSE)&lt;&gt;""," ("&amp;VLOOKUP(VLOOKUP(A78,DB_Locations!A:B,2,FALSE),DB_Patients!A:I,9,FALSE)&amp;")","")</f>
        <v>95042138</v>
      </c>
      <c r="D78" s="162" t="str">
        <f>VLOOKUP(VLOOKUP(A78,DB_Locations!A:B,2,FALSE),DB_Patients!A:J,10,FALSE)&amp;" ("&amp;VLOOKUP(VLOOKUP(A78,DB_Locations!A:B,2,FALSE),DB_Patients!A:K,11,FALSE)&amp;")"</f>
        <v>21800287 ()</v>
      </c>
      <c r="E78" s="162" t="str">
        <f>VLOOKUP(VLOOKUP(A78,DB_Locations!A:B,2,FALSE),DB_Patients!A:F,6,FALSE)</f>
        <v>MSAKEN</v>
      </c>
      <c r="F78" s="162" t="str">
        <f>VLOOKUP(VLOOKUP(A78,DB_Locations!A:B,2,FALSE),DB_Patients!A:M,13,FALSE)</f>
        <v>CNAM</v>
      </c>
      <c r="G78" s="162" t="str">
        <f>VLOOKUP(VLOOKUP(A78,DB_Locations!A:B,2,FALSE),DB_Patients!A:L,12,FALSE)</f>
        <v>IMEN MJANDEL</v>
      </c>
      <c r="H78" s="162" t="str">
        <f>VLOOKUP(A78,DB_Locations!A:F,6,FALSE)</f>
        <v>BILEL BOUHLEL</v>
      </c>
      <c r="I78" s="162">
        <f>VLOOKUP(A78,DB_Locations!A:G,7,FALSE)</f>
        <v>0</v>
      </c>
      <c r="J78" s="162" t="str">
        <f>VLOOKUP(VLOOKUP(A78,DB_Locations!A:C,3,FALSE),DB_Appareils!A:B,2,FALSE)</f>
        <v>CONCENTRATEUR O2</v>
      </c>
      <c r="K78" s="161">
        <f>VLOOKUP(A78,DB_Locations!A:D,4,FALSE)</f>
        <v>45799</v>
      </c>
      <c r="L78" s="161" cm="1">
        <f t="array" ref="L78">IF(COUNTIF(DB_Paiements!B:B,A78)=0,"",LOOKUP(2,1/(DB_Paiements!B:B=A78),DB_Paiements!D:D))</f>
        <v>45800</v>
      </c>
      <c r="M78" s="161" cm="1">
        <f t="array" ref="M78">IF(COUNTIF(DB_Paiements!B:B,A78)=0,"",LOOKUP(2,1/(DB_Paiements!B:B=A78),DB_Paiements!E:E))</f>
        <v>45891</v>
      </c>
      <c r="N78" s="162" t="str" cm="1">
        <f t="array" ref="N78">IF(COUNTIF(DB_Paiements!B:B,A78)=0,"",LOOKUP(2,1/(DB_Paiements!B:B=A78),DB_Paiements!G:G))</f>
        <v>CNAM</v>
      </c>
      <c r="O78" s="162" cm="1">
        <f t="array" ref="O78">IF(COUNTIF(DB_Paiements!B:B,A78)=0,"",LOOKUP(2,1/(DB_Paiements!B:B=A78),DB_Paiements!F:F))</f>
        <v>570</v>
      </c>
      <c r="P78" s="160"/>
      <c r="Q78" s="162">
        <f ca="1">IF(M78&lt;&gt;"",TODAY()-M78,"")</f>
        <v>4</v>
      </c>
      <c r="R78" s="162" t="str">
        <f>VLOOKUP(VLOOKUP(A78,DB_Locations!A:C,3,FALSE),DB_Appareils!A:F,6,FALSE)</f>
        <v>En location</v>
      </c>
      <c r="S78" s="162" t="str">
        <f>VLOOKUP(A78,DB_Locations!A:I,9,FALSE)</f>
        <v>Actif</v>
      </c>
      <c r="T78" s="162"/>
      <c r="U78" s="162"/>
      <c r="V78" s="164" t="str">
        <f ca="1">IF(U78&lt;&gt;"",TODAY()-U78,"")</f>
        <v/>
      </c>
      <c r="W78" s="164"/>
    </row>
    <row r="79" spans="1:23" x14ac:dyDescent="0.25">
      <c r="A79" s="162" t="s">
        <v>1452</v>
      </c>
      <c r="B79" s="162" t="str">
        <f>VLOOKUP(VLOOKUP(A79,DB_Locations!A:B,2,FALSE),DB_Patients!A:B,2,FALSE)</f>
        <v>BRAHIM REGAYA</v>
      </c>
      <c r="C79" s="162" t="str">
        <f>VLOOKUP(VLOOKUP(A79,DB_Locations!A:B,2,FALSE),DB_Patients!A:H,8,FALSE)&amp;IF(VLOOKUP(VLOOKUP(A79,DB_Locations!A:B,2,FALSE),DB_Patients!A:I,9,FALSE)&lt;&gt;""," ("&amp;VLOOKUP(VLOOKUP(A79,DB_Locations!A:B,2,FALSE),DB_Patients!A:I,9,FALSE)&amp;")","")</f>
        <v>95042138</v>
      </c>
      <c r="D79" s="162" t="str">
        <f>VLOOKUP(VLOOKUP(A79,DB_Locations!A:B,2,FALSE),DB_Patients!A:J,10,FALSE)&amp;" ("&amp;VLOOKUP(VLOOKUP(A79,DB_Locations!A:B,2,FALSE),DB_Patients!A:K,11,FALSE)&amp;")"</f>
        <v>21800287 ()</v>
      </c>
      <c r="E79" s="162" t="str">
        <f>VLOOKUP(VLOOKUP(A79,DB_Locations!A:B,2,FALSE),DB_Patients!A:F,6,FALSE)</f>
        <v>MSAKEN</v>
      </c>
      <c r="F79" s="162" t="str">
        <f>VLOOKUP(VLOOKUP(A79,DB_Locations!A:B,2,FALSE),DB_Patients!A:M,13,FALSE)</f>
        <v>CNAM</v>
      </c>
      <c r="G79" s="162" t="str">
        <f>VLOOKUP(VLOOKUP(A79,DB_Locations!A:B,2,FALSE),DB_Patients!A:L,12,FALSE)</f>
        <v>IMEN MJANDEL</v>
      </c>
      <c r="H79" s="162" t="str">
        <f>VLOOKUP(A79,DB_Locations!A:F,6,FALSE)</f>
        <v>BILEL BOUHLEL</v>
      </c>
      <c r="I79" s="162">
        <f>VLOOKUP(A79,DB_Locations!A:G,7,FALSE)</f>
        <v>0</v>
      </c>
      <c r="J79" s="162" t="str">
        <f>VLOOKUP(VLOOKUP(A79,DB_Locations!A:C,3,FALSE),DB_Appareils!A:B,2,FALSE)</f>
        <v>VNI</v>
      </c>
      <c r="K79" s="161">
        <f>VLOOKUP(A79,DB_Locations!A:D,4,FALSE)</f>
        <v>43454</v>
      </c>
      <c r="L79" s="161" cm="1">
        <f t="array" ref="L79">IF(COUNTIF(DB_Paiements!B:B,A79)=0,"",LOOKUP(2,1/(DB_Paiements!B:B=A79),DB_Paiements!D:D))</f>
        <v>45800</v>
      </c>
      <c r="M79" s="161" cm="1">
        <f t="array" ref="M79">IF(COUNTIF(DB_Paiements!B:B,A79)=0,"",LOOKUP(2,1/(DB_Paiements!B:B=A79),DB_Paiements!E:E))</f>
        <v>45983</v>
      </c>
      <c r="N79" s="162" t="str" cm="1">
        <f t="array" ref="N79">IF(COUNTIF(DB_Paiements!B:B,A79)=0,"",LOOKUP(2,1/(DB_Paiements!B:B=A79),DB_Paiements!G:G))</f>
        <v>CNAM</v>
      </c>
      <c r="O79" s="162" cm="1">
        <f t="array" ref="O79">IF(COUNTIF(DB_Paiements!B:B,A79)=0,"",LOOKUP(2,1/(DB_Paiements!B:B=A79),DB_Paiements!F:F))</f>
        <v>2580</v>
      </c>
      <c r="P79" s="160"/>
      <c r="Q79" s="162">
        <f ca="1">IF(M79&lt;&gt;"",TODAY()-M79,"")</f>
        <v>-88</v>
      </c>
      <c r="R79" s="162" t="str">
        <f>VLOOKUP(VLOOKUP(A79,DB_Locations!A:C,3,FALSE),DB_Appareils!A:F,6,FALSE)</f>
        <v>En location</v>
      </c>
      <c r="S79" s="162" t="str">
        <f>VLOOKUP(A79,DB_Locations!A:I,9,FALSE)</f>
        <v>Actif</v>
      </c>
      <c r="T79" s="162"/>
      <c r="U79" s="162"/>
      <c r="V79" s="162"/>
      <c r="W79" s="164"/>
    </row>
    <row r="80" spans="1:23" x14ac:dyDescent="0.25">
      <c r="A80" s="162" t="s">
        <v>1453</v>
      </c>
      <c r="B80" s="162" t="str">
        <f>VLOOKUP(VLOOKUP(A80,DB_Locations!A:B,2,FALSE),DB_Patients!A:B,2,FALSE)</f>
        <v>ZAYANI WASSILA</v>
      </c>
      <c r="C80" s="162" t="str">
        <f>VLOOKUP(VLOOKUP(A80,DB_Locations!A:B,2,FALSE),DB_Patients!A:H,8,FALSE)&amp;IF(VLOOKUP(VLOOKUP(A80,DB_Locations!A:B,2,FALSE),DB_Patients!A:I,9,FALSE)&lt;&gt;""," ("&amp;VLOOKUP(VLOOKUP(A80,DB_Locations!A:B,2,FALSE),DB_Patients!A:I,9,FALSE)&amp;")","")</f>
        <v>50524644 SON FILS (53674238)</v>
      </c>
      <c r="D80" s="162" t="str">
        <f>VLOOKUP(VLOOKUP(A80,DB_Locations!A:B,2,FALSE),DB_Patients!A:J,10,FALSE)&amp;" ("&amp;VLOOKUP(VLOOKUP(A80,DB_Locations!A:B,2,FALSE),DB_Patients!A:K,11,FALSE)&amp;")"</f>
        <v>50023172 (AHLEM)</v>
      </c>
      <c r="E80" s="162" t="str">
        <f>VLOOKUP(VLOOKUP(A80,DB_Locations!A:B,2,FALSE),DB_Patients!A:F,6,FALSE)</f>
        <v>MOUREDDINE</v>
      </c>
      <c r="F80" s="162" t="str">
        <f>VLOOKUP(VLOOKUP(A80,DB_Locations!A:B,2,FALSE),DB_Patients!A:M,13,FALSE)</f>
        <v>CNAM</v>
      </c>
      <c r="G80" s="162" t="str">
        <f>VLOOKUP(VLOOKUP(A80,DB_Locations!A:B,2,FALSE),DB_Patients!A:L,12,FALSE)</f>
        <v>SALSABIL BOUAFIA</v>
      </c>
      <c r="H80" s="162" t="str">
        <f>VLOOKUP(A80,DB_Locations!A:F,6,FALSE)</f>
        <v>BILEL BOUHLEL</v>
      </c>
      <c r="I80" s="162">
        <f>VLOOKUP(A80,DB_Locations!A:G,7,FALSE)</f>
        <v>0</v>
      </c>
      <c r="J80" s="162" t="str">
        <f>VLOOKUP(VLOOKUP(A80,DB_Locations!A:C,3,FALSE),DB_Appareils!A:B,2,FALSE)</f>
        <v>CONCENTRATEUR O2</v>
      </c>
      <c r="K80" s="161">
        <f>VLOOKUP(A80,DB_Locations!A:D,4,FALSE)</f>
        <v>45812</v>
      </c>
      <c r="L80" s="161" cm="1">
        <f t="array" ref="L80">IF(COUNTIF(DB_Paiements!B:B,A80)=0,"",LOOKUP(2,1/(DB_Paiements!B:B=A80),DB_Paiements!D:D))</f>
        <v>45812</v>
      </c>
      <c r="M80" s="161" cm="1">
        <f t="array" ref="M80">IF(COUNTIF(DB_Paiements!B:B,A80)=0,"",LOOKUP(2,1/(DB_Paiements!B:B=A80),DB_Paiements!E:E))</f>
        <v>45903</v>
      </c>
      <c r="N80" s="162" t="str" cm="1">
        <f t="array" ref="N80">IF(COUNTIF(DB_Paiements!B:B,A80)=0,"",LOOKUP(2,1/(DB_Paiements!B:B=A80),DB_Paiements!G:G))</f>
        <v>CNAM</v>
      </c>
      <c r="O80" s="162" cm="1">
        <f t="array" ref="O80">IF(COUNTIF(DB_Paiements!B:B,A80)=0,"",LOOKUP(2,1/(DB_Paiements!B:B=A80),DB_Paiements!F:F))</f>
        <v>570</v>
      </c>
      <c r="P80" s="160"/>
      <c r="Q80" s="162">
        <f ca="1">IF(M80&lt;&gt;"",TODAY()-M80,"")</f>
        <v>-8</v>
      </c>
      <c r="R80" s="162" t="str">
        <f>VLOOKUP(VLOOKUP(A80,DB_Locations!A:C,3,FALSE),DB_Appareils!A:F,6,FALSE)</f>
        <v>En location</v>
      </c>
      <c r="S80" s="162" t="str">
        <f>VLOOKUP(A80,DB_Locations!A:I,9,FALSE)</f>
        <v>Actif</v>
      </c>
      <c r="T80" s="162"/>
      <c r="U80" s="162"/>
      <c r="V80" s="162"/>
      <c r="W80" s="164"/>
    </row>
    <row r="81" spans="1:23" x14ac:dyDescent="0.25">
      <c r="A81" s="162" t="s">
        <v>1454</v>
      </c>
      <c r="B81" s="162" t="str">
        <f>VLOOKUP(VLOOKUP(A81,DB_Locations!A:B,2,FALSE),DB_Patients!A:B,2,FALSE)</f>
        <v>ZAYANI WASSILA</v>
      </c>
      <c r="C81" s="162" t="str">
        <f>VLOOKUP(VLOOKUP(A81,DB_Locations!A:B,2,FALSE),DB_Patients!A:H,8,FALSE)&amp;IF(VLOOKUP(VLOOKUP(A81,DB_Locations!A:B,2,FALSE),DB_Patients!A:I,9,FALSE)&lt;&gt;""," ("&amp;VLOOKUP(VLOOKUP(A81,DB_Locations!A:B,2,FALSE),DB_Patients!A:I,9,FALSE)&amp;")","")</f>
        <v>50524644 SON FILS (53674238)</v>
      </c>
      <c r="D81" s="162" t="str">
        <f>VLOOKUP(VLOOKUP(A81,DB_Locations!A:B,2,FALSE),DB_Patients!A:J,10,FALSE)&amp;" ("&amp;VLOOKUP(VLOOKUP(A81,DB_Locations!A:B,2,FALSE),DB_Patients!A:K,11,FALSE)&amp;")"</f>
        <v>50023172 (AHLEM)</v>
      </c>
      <c r="E81" s="162" t="str">
        <f>VLOOKUP(VLOOKUP(A81,DB_Locations!A:B,2,FALSE),DB_Patients!A:F,6,FALSE)</f>
        <v>MOUREDDINE</v>
      </c>
      <c r="F81" s="162" t="str">
        <f>VLOOKUP(VLOOKUP(A81,DB_Locations!A:B,2,FALSE),DB_Patients!A:M,13,FALSE)</f>
        <v>CNAM</v>
      </c>
      <c r="G81" s="162" t="str">
        <f>VLOOKUP(VLOOKUP(A81,DB_Locations!A:B,2,FALSE),DB_Patients!A:L,12,FALSE)</f>
        <v>SALSABIL BOUAFIA</v>
      </c>
      <c r="H81" s="162" t="str">
        <f>VLOOKUP(A81,DB_Locations!A:F,6,FALSE)</f>
        <v>BILEL BOUHLEL</v>
      </c>
      <c r="I81" s="162">
        <f>VLOOKUP(A81,DB_Locations!A:G,7,FALSE)</f>
        <v>0</v>
      </c>
      <c r="J81" s="162" t="str">
        <f>VLOOKUP(VLOOKUP(A81,DB_Locations!A:C,3,FALSE),DB_Appareils!A:B,2,FALSE)</f>
        <v>VNI</v>
      </c>
      <c r="K81" s="161">
        <f>VLOOKUP(A81,DB_Locations!A:D,4,FALSE)</f>
        <v>45727</v>
      </c>
      <c r="L81" s="161" cm="1">
        <f t="array" ref="L81">IF(COUNTIF(DB_Paiements!B:B,A81)=0,"",LOOKUP(2,1/(DB_Paiements!B:B=A81),DB_Paiements!D:D))</f>
        <v>45768</v>
      </c>
      <c r="M81" s="161" cm="1">
        <f t="array" ref="M81">IF(COUNTIF(DB_Paiements!B:B,A81)=0,"",LOOKUP(2,1/(DB_Paiements!B:B=A81),DB_Paiements!E:E))</f>
        <v>45858</v>
      </c>
      <c r="N81" s="162" t="str" cm="1">
        <f t="array" ref="N81">IF(COUNTIF(DB_Paiements!B:B,A81)=0,"",LOOKUP(2,1/(DB_Paiements!B:B=A81),DB_Paiements!G:G))</f>
        <v>CNAM</v>
      </c>
      <c r="O81" s="162" cm="1">
        <f t="array" ref="O81">IF(COUNTIF(DB_Paiements!B:B,A81)=0,"",LOOKUP(2,1/(DB_Paiements!B:B=A81),DB_Paiements!F:F))</f>
        <v>1290</v>
      </c>
      <c r="P81" s="160"/>
      <c r="Q81" s="162">
        <f ca="1">IF(M81&lt;&gt;"",TODAY()-M81,"")</f>
        <v>37</v>
      </c>
      <c r="R81" s="162" t="str">
        <f>VLOOKUP(VLOOKUP(A81,DB_Locations!A:C,3,FALSE),DB_Appareils!A:F,6,FALSE)</f>
        <v>En location</v>
      </c>
      <c r="S81" s="162" t="str">
        <f>VLOOKUP(A81,DB_Locations!A:I,9,FALSE)</f>
        <v>Actif</v>
      </c>
      <c r="T81" s="162"/>
      <c r="U81" s="162"/>
      <c r="V81" s="164" t="str">
        <f ca="1">IF(U81&lt;&gt;"",TODAY()-U81,"")</f>
        <v/>
      </c>
      <c r="W81" s="164"/>
    </row>
    <row r="82" spans="1:23" x14ac:dyDescent="0.25">
      <c r="A82" s="162" t="s">
        <v>1455</v>
      </c>
      <c r="B82" s="162" t="str">
        <f>VLOOKUP(VLOOKUP(A82,DB_Locations!A:B,2,FALSE),DB_Patients!A:B,2,FALSE)</f>
        <v>KAABI AHMED</v>
      </c>
      <c r="C82" s="162" t="str">
        <f>VLOOKUP(VLOOKUP(A82,DB_Locations!A:B,2,FALSE),DB_Patients!A:H,8,FALSE)&amp;IF(VLOOKUP(VLOOKUP(A82,DB_Locations!A:B,2,FALSE),DB_Patients!A:I,9,FALSE)&lt;&gt;""," ("&amp;VLOOKUP(VLOOKUP(A82,DB_Locations!A:B,2,FALSE),DB_Patients!A:I,9,FALSE)&amp;")","")</f>
        <v>20782421</v>
      </c>
      <c r="D82" s="162" t="str">
        <f>VLOOKUP(VLOOKUP(A82,DB_Locations!A:B,2,FALSE),DB_Patients!A:J,10,FALSE)&amp;" ("&amp;VLOOKUP(VLOOKUP(A82,DB_Locations!A:B,2,FALSE),DB_Patients!A:K,11,FALSE)&amp;")"</f>
        <v>50375005 ()</v>
      </c>
      <c r="E82" s="162" t="str">
        <f>VLOOKUP(VLOOKUP(A82,DB_Locations!A:B,2,FALSE),DB_Patients!A:F,6,FALSE)</f>
        <v>MANZEL BOURGUIBA</v>
      </c>
      <c r="F82" s="162" t="str">
        <f>VLOOKUP(VLOOKUP(A82,DB_Locations!A:B,2,FALSE),DB_Patients!A:M,13,FALSE)</f>
        <v>CNAM</v>
      </c>
      <c r="G82" s="162" t="str">
        <f>VLOOKUP(VLOOKUP(A82,DB_Locations!A:B,2,FALSE),DB_Patients!A:L,12,FALSE)</f>
        <v>OTHMEN NAFFETY</v>
      </c>
      <c r="H82" s="162" t="str">
        <f>VLOOKUP(A82,DB_Locations!A:F,6,FALSE)</f>
        <v>SOUHAIEB BEN SAHRA</v>
      </c>
      <c r="I82" s="162">
        <f>VLOOKUP(A82,DB_Locations!A:G,7,FALSE)</f>
        <v>0</v>
      </c>
      <c r="J82" s="162" t="str">
        <f>VLOOKUP(VLOOKUP(A82,DB_Locations!A:C,3,FALSE),DB_Appareils!A:B,2,FALSE)</f>
        <v>CONCENTRATEUR O2</v>
      </c>
      <c r="K82" s="161">
        <f>VLOOKUP(A82,DB_Locations!A:D,4,FALSE)</f>
        <v>45738</v>
      </c>
      <c r="L82" s="161" cm="1">
        <f t="array" ref="L82">IF(COUNTIF(DB_Paiements!B:B,A82)=0,"",LOOKUP(2,1/(DB_Paiements!B:B=A82),DB_Paiements!D:D))</f>
        <v>45755</v>
      </c>
      <c r="M82" s="161" cm="1">
        <f t="array" ref="M82">IF(COUNTIF(DB_Paiements!B:B,A82)=0,"",LOOKUP(2,1/(DB_Paiements!B:B=A82),DB_Paiements!E:E))</f>
        <v>45845</v>
      </c>
      <c r="N82" s="162" t="str" cm="1">
        <f t="array" ref="N82">IF(COUNTIF(DB_Paiements!B:B,A82)=0,"",LOOKUP(2,1/(DB_Paiements!B:B=A82),DB_Paiements!G:G))</f>
        <v>CNAM</v>
      </c>
      <c r="O82" s="162" cm="1">
        <f t="array" ref="O82">IF(COUNTIF(DB_Paiements!B:B,A82)=0,"",LOOKUP(2,1/(DB_Paiements!B:B=A82),DB_Paiements!F:F))</f>
        <v>570</v>
      </c>
      <c r="P82" s="160"/>
      <c r="Q82" s="162">
        <f ca="1">IF(M82&lt;&gt;"",TODAY()-M82,"")</f>
        <v>50</v>
      </c>
      <c r="R82" s="162" t="str">
        <f>VLOOKUP(VLOOKUP(A82,DB_Locations!A:C,3,FALSE),DB_Appareils!A:F,6,FALSE)</f>
        <v>En location</v>
      </c>
      <c r="S82" s="162" t="str">
        <f>VLOOKUP(A82,DB_Locations!A:I,9,FALSE)</f>
        <v>Actif</v>
      </c>
      <c r="T82" s="162"/>
      <c r="U82" s="162"/>
      <c r="V82" s="164" t="str">
        <f ca="1">IF(U82&lt;&gt;"",TODAY()-U82,"")</f>
        <v/>
      </c>
      <c r="W82" s="164"/>
    </row>
    <row r="83" spans="1:23" x14ac:dyDescent="0.25">
      <c r="A83" s="162" t="s">
        <v>1456</v>
      </c>
      <c r="B83" s="162" t="str">
        <f>VLOOKUP(VLOOKUP(A83,DB_Locations!A:B,2,FALSE),DB_Patients!A:B,2,FALSE)</f>
        <v>KAABI AHMED</v>
      </c>
      <c r="C83" s="162" t="str">
        <f>VLOOKUP(VLOOKUP(A83,DB_Locations!A:B,2,FALSE),DB_Patients!A:H,8,FALSE)&amp;IF(VLOOKUP(VLOOKUP(A83,DB_Locations!A:B,2,FALSE),DB_Patients!A:I,9,FALSE)&lt;&gt;""," ("&amp;VLOOKUP(VLOOKUP(A83,DB_Locations!A:B,2,FALSE),DB_Patients!A:I,9,FALSE)&amp;")","")</f>
        <v>20782421</v>
      </c>
      <c r="D83" s="162" t="str">
        <f>VLOOKUP(VLOOKUP(A83,DB_Locations!A:B,2,FALSE),DB_Patients!A:J,10,FALSE)&amp;" ("&amp;VLOOKUP(VLOOKUP(A83,DB_Locations!A:B,2,FALSE),DB_Patients!A:K,11,FALSE)&amp;")"</f>
        <v>50375005 ()</v>
      </c>
      <c r="E83" s="162" t="str">
        <f>VLOOKUP(VLOOKUP(A83,DB_Locations!A:B,2,FALSE),DB_Patients!A:F,6,FALSE)</f>
        <v>MANZEL BOURGUIBA</v>
      </c>
      <c r="F83" s="162" t="str">
        <f>VLOOKUP(VLOOKUP(A83,DB_Locations!A:B,2,FALSE),DB_Patients!A:M,13,FALSE)</f>
        <v>CNAM</v>
      </c>
      <c r="G83" s="162" t="str">
        <f>VLOOKUP(VLOOKUP(A83,DB_Locations!A:B,2,FALSE),DB_Patients!A:L,12,FALSE)</f>
        <v>OTHMEN NAFFETY</v>
      </c>
      <c r="H83" s="162" t="str">
        <f>VLOOKUP(A83,DB_Locations!A:F,6,FALSE)</f>
        <v>SOUHAIEB BEN SAHRA</v>
      </c>
      <c r="I83" s="162">
        <f>VLOOKUP(A83,DB_Locations!A:G,7,FALSE)</f>
        <v>0</v>
      </c>
      <c r="J83" s="162" t="str">
        <f>VLOOKUP(VLOOKUP(A83,DB_Locations!A:C,3,FALSE),DB_Appareils!A:B,2,FALSE)</f>
        <v>VNI</v>
      </c>
      <c r="K83" s="161">
        <f>VLOOKUP(A83,DB_Locations!A:D,4,FALSE)</f>
        <v>45738</v>
      </c>
      <c r="L83" s="161" cm="1">
        <f t="array" aca="1" ref="L83" ca="1">IF(COUNTIF(DB_Paiements!B:B,A83)=0,"",LOOKUP(2,1/(DB_Paiements!B:B=A83),DB_Paiements!D:D))</f>
        <v>45895</v>
      </c>
      <c r="M83" s="161" cm="1">
        <f t="array" ref="M83">IF(COUNTIF(DB_Paiements!B:B,A83)=0,"",LOOKUP(2,1/(DB_Paiements!B:B=A83),DB_Paiements!E:E))</f>
        <v>45738</v>
      </c>
      <c r="N83" s="162" t="str" cm="1">
        <f t="array" ref="N83">IF(COUNTIF(DB_Paiements!B:B,A83)=0,"",LOOKUP(2,1/(DB_Paiements!B:B=A83),DB_Paiements!G:G))</f>
        <v>CNAM</v>
      </c>
      <c r="O83" s="162" cm="1">
        <f t="array" aca="1" ref="O83" ca="1">IF(COUNTIF(DB_Paiements!B:B,A83)=0,"",LOOKUP(2,1/(DB_Paiements!B:B=A83),DB_Paiements!F:F))</f>
        <v>-2150</v>
      </c>
      <c r="P83" s="160"/>
      <c r="Q83" s="162">
        <f ca="1">IF(M83&lt;&gt;"",TODAY()-M83,"")</f>
        <v>157</v>
      </c>
      <c r="R83" s="162" t="str">
        <f>VLOOKUP(VLOOKUP(A83,DB_Locations!A:C,3,FALSE),DB_Appareils!A:F,6,FALSE)</f>
        <v>En location</v>
      </c>
      <c r="S83" s="162" t="str">
        <f>VLOOKUP(A83,DB_Locations!A:I,9,FALSE)</f>
        <v>Actif</v>
      </c>
      <c r="T83" s="162"/>
      <c r="U83" s="162"/>
      <c r="V83" s="164" t="str">
        <f ca="1">IF(U83&lt;&gt;"",TODAY()-U83,"")</f>
        <v/>
      </c>
      <c r="W83" s="164"/>
    </row>
    <row r="84" spans="1:23" hidden="1" x14ac:dyDescent="0.25">
      <c r="A84" s="162" t="s">
        <v>1457</v>
      </c>
      <c r="B84" s="162" t="str">
        <f>VLOOKUP(VLOOKUP(A84,DB_Locations!A:B,2,FALSE),DB_Patients!A:B,2,FALSE)</f>
        <v>B SAAD AMMAR</v>
      </c>
      <c r="C84" s="162" t="str">
        <f>VLOOKUP(VLOOKUP(A84,DB_Locations!A:B,2,FALSE),DB_Patients!A:H,8,FALSE)&amp;IF(VLOOKUP(VLOOKUP(A84,DB_Locations!A:B,2,FALSE),DB_Patients!A:I,9,FALSE)&lt;&gt;""," ("&amp;VLOOKUP(VLOOKUP(A84,DB_Locations!A:B,2,FALSE),DB_Patients!A:I,9,FALSE)&amp;")","")</f>
        <v>50409819</v>
      </c>
      <c r="D84" s="162" t="str">
        <f>VLOOKUP(VLOOKUP(A84,DB_Locations!A:B,2,FALSE),DB_Patients!A:J,10,FALSE)&amp;" ("&amp;VLOOKUP(VLOOKUP(A84,DB_Locations!A:B,2,FALSE),DB_Patients!A:K,11,FALSE)&amp;")"</f>
        <v xml:space="preserve"> ()</v>
      </c>
      <c r="E84" s="162"/>
      <c r="F84" s="162" t="str">
        <f>VLOOKUP(VLOOKUP(A84,DB_Locations!A:B,2,FALSE),DB_Patients!A:M,13,FALSE)</f>
        <v>CNAM</v>
      </c>
      <c r="G84" s="162" t="str">
        <f>VLOOKUP(VLOOKUP(A84,DB_Locations!A:B,2,FALSE),DB_Patients!A:L,12,FALSE)</f>
        <v>OTHMEN NAFFETY</v>
      </c>
      <c r="H84" s="162" t="str">
        <f>VLOOKUP(A84,DB_Locations!A:F,6,FALSE)</f>
        <v>SOUHAIEB BEN SAHRA</v>
      </c>
      <c r="I84" s="162">
        <f>VLOOKUP(A84,DB_Locations!A:G,7,FALSE)</f>
        <v>0</v>
      </c>
      <c r="J84" s="162" t="str">
        <f>VLOOKUP(VLOOKUP(A84,DB_Locations!A:C,3,FALSE),DB_Appareils!A:B,2,FALSE)</f>
        <v>CONCENTRATEUR O2</v>
      </c>
      <c r="K84" s="161">
        <f>VLOOKUP(A84,DB_Locations!A:D,4,FALSE)</f>
        <v>45744</v>
      </c>
      <c r="L84" s="161" cm="1">
        <f t="array" ref="L84">IF(COUNTIF(DB_Paiements!B:B,A84)=0,"",LOOKUP(2,1/(DB_Paiements!B:B=A84),DB_Paiements!D:D))</f>
        <v>45744</v>
      </c>
      <c r="M84" s="161" cm="1">
        <f t="array" ref="M84">IF(COUNTIF(DB_Paiements!B:B,A84)=0,"",LOOKUP(2,1/(DB_Paiements!B:B=A84),DB_Paiements!E:E))</f>
        <v>45835</v>
      </c>
      <c r="N84" s="162" t="str" cm="1">
        <f t="array" ref="N84">IF(COUNTIF(DB_Paiements!B:B,A84)=0,"",LOOKUP(2,1/(DB_Paiements!B:B=A84),DB_Paiements!G:G))</f>
        <v>CNAM</v>
      </c>
      <c r="O84" s="162" cm="1">
        <f t="array" ref="O84">IF(COUNTIF(DB_Paiements!B:B,A84)=0,"",LOOKUP(2,1/(DB_Paiements!B:B=A84),DB_Paiements!F:F))</f>
        <v>570</v>
      </c>
      <c r="P84" s="161"/>
      <c r="Q84" s="162">
        <f ca="1">IF(M84&lt;&gt;"",TODAY()-M84,"")</f>
        <v>60</v>
      </c>
      <c r="R84" s="162" t="str">
        <f>VLOOKUP(VLOOKUP(A84,DB_Locations!A:C,3,FALSE),DB_Appareils!A:F,6,FALSE)</f>
        <v>SOUHAIB</v>
      </c>
      <c r="S84" s="162" t="str">
        <f>VLOOKUP(A84,DB_Locations!A:I,9,FALSE)</f>
        <v>RETOUR</v>
      </c>
      <c r="T84" s="162"/>
      <c r="U84" s="162"/>
      <c r="V84" s="162"/>
      <c r="W84" s="164"/>
    </row>
    <row r="85" spans="1:23" x14ac:dyDescent="0.25">
      <c r="A85" s="162" t="s">
        <v>1458</v>
      </c>
      <c r="B85" s="162" t="str">
        <f>VLOOKUP(VLOOKUP(A85,DB_Locations!A:B,2,FALSE),DB_Patients!A:B,2,FALSE)</f>
        <v>BEN ALI NAIMA</v>
      </c>
      <c r="C85" s="162" t="str">
        <f>VLOOKUP(VLOOKUP(A85,DB_Locations!A:B,2,FALSE),DB_Patients!A:H,8,FALSE)&amp;IF(VLOOKUP(VLOOKUP(A85,DB_Locations!A:B,2,FALSE),DB_Patients!A:I,9,FALSE)&lt;&gt;""," ("&amp;VLOOKUP(VLOOKUP(A85,DB_Locations!A:B,2,FALSE),DB_Patients!A:I,9,FALSE)&amp;")","")</f>
        <v>94172271</v>
      </c>
      <c r="D85" s="162" t="str">
        <f>VLOOKUP(VLOOKUP(A85,DB_Locations!A:B,2,FALSE),DB_Patients!A:J,10,FALSE)&amp;" ("&amp;VLOOKUP(VLOOKUP(A85,DB_Locations!A:B,2,FALSE),DB_Patients!A:K,11,FALSE)&amp;")"</f>
        <v>96451310 ()</v>
      </c>
      <c r="E85" s="162" t="str">
        <f>VLOOKUP(VLOOKUP(A85,DB_Locations!A:B,2,FALSE),DB_Patients!A:F,6,FALSE)</f>
        <v>MSAKEN</v>
      </c>
      <c r="F85" s="162" t="str">
        <f>VLOOKUP(VLOOKUP(A85,DB_Locations!A:B,2,FALSE),DB_Patients!A:M,13,FALSE)</f>
        <v>CNAM</v>
      </c>
      <c r="G85" s="162" t="str">
        <f>VLOOKUP(VLOOKUP(A85,DB_Locations!A:B,2,FALSE),DB_Patients!A:L,12,FALSE)</f>
        <v>SANA AISSA</v>
      </c>
      <c r="H85" s="162" t="str">
        <f>VLOOKUP(A85,DB_Locations!A:F,6,FALSE)</f>
        <v>BILEL BOUHLEL</v>
      </c>
      <c r="I85" s="162">
        <f>VLOOKUP(A85,DB_Locations!A:G,7,FALSE)</f>
        <v>0</v>
      </c>
      <c r="J85" s="162" t="str">
        <f>VLOOKUP(VLOOKUP(A85,DB_Locations!A:C,3,FALSE),DB_Appareils!A:B,2,FALSE)</f>
        <v>CONCENTRATEUR O2</v>
      </c>
      <c r="K85" s="161">
        <f>VLOOKUP(A85,DB_Locations!A:D,4,FALSE)</f>
        <v>45831</v>
      </c>
      <c r="L85" s="161" cm="1">
        <f t="array" ref="L85">IF(COUNTIF(DB_Paiements!B:B,A85)=0,"",LOOKUP(2,1/(DB_Paiements!B:B=A85),DB_Paiements!D:D))</f>
        <v>45838</v>
      </c>
      <c r="M85" s="161" cm="1">
        <f t="array" ref="M85">IF(COUNTIF(DB_Paiements!B:B,A85)=0,"",LOOKUP(2,1/(DB_Paiements!B:B=A85),DB_Paiements!E:E))</f>
        <v>45929</v>
      </c>
      <c r="N85" s="162" t="str" cm="1">
        <f t="array" ref="N85">IF(COUNTIF(DB_Paiements!B:B,A85)=0,"",LOOKUP(2,1/(DB_Paiements!B:B=A85),DB_Paiements!G:G))</f>
        <v>CNAM</v>
      </c>
      <c r="O85" s="162" cm="1">
        <f t="array" ref="O85">IF(COUNTIF(DB_Paiements!B:B,A85)=0,"",LOOKUP(2,1/(DB_Paiements!B:B=A85),DB_Paiements!F:F))</f>
        <v>570</v>
      </c>
      <c r="P85" s="160"/>
      <c r="Q85" s="162">
        <f ca="1">IF(M85&lt;&gt;"",TODAY()-M85,"")</f>
        <v>-34</v>
      </c>
      <c r="R85" s="162" t="str">
        <f>VLOOKUP(VLOOKUP(A85,DB_Locations!A:C,3,FALSE),DB_Appareils!A:F,6,FALSE)</f>
        <v>En location</v>
      </c>
      <c r="S85" s="162" t="str">
        <f>VLOOKUP(A85,DB_Locations!A:I,9,FALSE)</f>
        <v>Actif</v>
      </c>
      <c r="T85" s="162"/>
      <c r="U85" s="162"/>
      <c r="V85" s="162"/>
      <c r="W85" s="164"/>
    </row>
    <row r="86" spans="1:23" x14ac:dyDescent="0.25">
      <c r="A86" s="162" t="s">
        <v>1459</v>
      </c>
      <c r="B86" s="162" t="str">
        <f>VLOOKUP(VLOOKUP(A86,DB_Locations!A:B,2,FALSE),DB_Patients!A:B,2,FALSE)</f>
        <v>BEN ALI NAIMA</v>
      </c>
      <c r="C86" s="162" t="str">
        <f>VLOOKUP(VLOOKUP(A86,DB_Locations!A:B,2,FALSE),DB_Patients!A:H,8,FALSE)&amp;IF(VLOOKUP(VLOOKUP(A86,DB_Locations!A:B,2,FALSE),DB_Patients!A:I,9,FALSE)&lt;&gt;""," ("&amp;VLOOKUP(VLOOKUP(A86,DB_Locations!A:B,2,FALSE),DB_Patients!A:I,9,FALSE)&amp;")","")</f>
        <v>94172271</v>
      </c>
      <c r="D86" s="162" t="str">
        <f>VLOOKUP(VLOOKUP(A86,DB_Locations!A:B,2,FALSE),DB_Patients!A:J,10,FALSE)&amp;" ("&amp;VLOOKUP(VLOOKUP(A86,DB_Locations!A:B,2,FALSE),DB_Patients!A:K,11,FALSE)&amp;")"</f>
        <v>96451310 ()</v>
      </c>
      <c r="E86" s="162" t="str">
        <f>VLOOKUP(VLOOKUP(A86,DB_Locations!A:B,2,FALSE),DB_Patients!A:F,6,FALSE)</f>
        <v>MSAKEN</v>
      </c>
      <c r="F86" s="162" t="str">
        <f>VLOOKUP(VLOOKUP(A86,DB_Locations!A:B,2,FALSE),DB_Patients!A:M,13,FALSE)</f>
        <v>CNAM</v>
      </c>
      <c r="G86" s="162" t="str">
        <f>VLOOKUP(VLOOKUP(A86,DB_Locations!A:B,2,FALSE),DB_Patients!A:L,12,FALSE)</f>
        <v>SANA AISSA</v>
      </c>
      <c r="H86" s="162" t="str">
        <f>VLOOKUP(A86,DB_Locations!A:F,6,FALSE)</f>
        <v>BILEL BOUHLEL</v>
      </c>
      <c r="I86" s="162">
        <f>VLOOKUP(A86,DB_Locations!A:G,7,FALSE)</f>
        <v>0</v>
      </c>
      <c r="J86" s="162" t="str">
        <f>VLOOKUP(VLOOKUP(A86,DB_Locations!A:C,3,FALSE),DB_Appareils!A:B,2,FALSE)</f>
        <v>VNI</v>
      </c>
      <c r="K86" s="161">
        <f>VLOOKUP(A86,DB_Locations!A:D,4,FALSE)</f>
        <v>45826</v>
      </c>
      <c r="L86" s="161" cm="1">
        <f t="array" ref="L86">IF(COUNTIF(DB_Paiements!B:B,A86)=0,"",LOOKUP(2,1/(DB_Paiements!B:B=A86),DB_Paiements!D:D))</f>
        <v>45838</v>
      </c>
      <c r="M86" s="161" cm="1">
        <f t="array" ref="M86">IF(COUNTIF(DB_Paiements!B:B,A86)=0,"",LOOKUP(2,1/(DB_Paiements!B:B=A86),DB_Paiements!E:E))</f>
        <v>45929</v>
      </c>
      <c r="N86" s="162" t="str" cm="1">
        <f t="array" ref="N86">IF(COUNTIF(DB_Paiements!B:B,A86)=0,"",LOOKUP(2,1/(DB_Paiements!B:B=A86),DB_Paiements!G:G))</f>
        <v>CNAM</v>
      </c>
      <c r="O86" s="162" cm="1">
        <f t="array" ref="O86">IF(COUNTIF(DB_Paiements!B:B,A86)=0,"",LOOKUP(2,1/(DB_Paiements!B:B=A86),DB_Paiements!F:F))</f>
        <v>1290</v>
      </c>
      <c r="P86" s="160"/>
      <c r="Q86" s="162">
        <f ca="1">IF(M86&lt;&gt;"",TODAY()-M86,"")</f>
        <v>-34</v>
      </c>
      <c r="R86" s="162" t="str">
        <f>VLOOKUP(VLOOKUP(A86,DB_Locations!A:C,3,FALSE),DB_Appareils!A:F,6,FALSE)</f>
        <v>En location</v>
      </c>
      <c r="S86" s="162" t="str">
        <f>VLOOKUP(A86,DB_Locations!A:I,9,FALSE)</f>
        <v>Actif</v>
      </c>
      <c r="T86" s="162"/>
      <c r="U86" s="162"/>
      <c r="V86" s="162"/>
      <c r="W86" s="164"/>
    </row>
    <row r="87" spans="1:23" x14ac:dyDescent="0.25">
      <c r="A87" s="162" t="s">
        <v>1460</v>
      </c>
      <c r="B87" s="162" t="str">
        <f>VLOOKUP(VLOOKUP(A87,DB_Locations!A:B,2,FALSE),DB_Patients!A:B,2,FALSE)</f>
        <v>KITAR AICHA</v>
      </c>
      <c r="C87" s="162" t="str">
        <f>VLOOKUP(VLOOKUP(A87,DB_Locations!A:B,2,FALSE),DB_Patients!A:H,8,FALSE)&amp;IF(VLOOKUP(VLOOKUP(A87,DB_Locations!A:B,2,FALSE),DB_Patients!A:I,9,FALSE)&lt;&gt;""," ("&amp;VLOOKUP(VLOOKUP(A87,DB_Locations!A:B,2,FALSE),DB_Patients!A:I,9,FALSE)&amp;")","")</f>
        <v>26 565 878 MOUNIR/29 561 330 (52551280)</v>
      </c>
      <c r="D87" s="162" t="str">
        <f>VLOOKUP(VLOOKUP(A87,DB_Locations!A:B,2,FALSE),DB_Patients!A:J,10,FALSE)&amp;" ("&amp;VLOOKUP(VLOOKUP(A87,DB_Locations!A:B,2,FALSE),DB_Patients!A:K,11,FALSE)&amp;")"</f>
        <v>27413288 (98565879)</v>
      </c>
      <c r="E87" s="162" t="str">
        <f>VLOOKUP(VLOOKUP(A87,DB_Locations!A:B,2,FALSE),DB_Patients!A:F,6,FALSE)</f>
        <v>CHEBBA</v>
      </c>
      <c r="F87" s="162" t="str">
        <f>VLOOKUP(VLOOKUP(A87,DB_Locations!A:B,2,FALSE),DB_Patients!A:M,13,FALSE)</f>
        <v>CNAM</v>
      </c>
      <c r="G87" s="162" t="str">
        <f>VLOOKUP(VLOOKUP(A87,DB_Locations!A:B,2,FALSE),DB_Patients!A:L,12,FALSE)</f>
        <v>WAHID BRAHEM</v>
      </c>
      <c r="H87" s="162" t="str">
        <f>VLOOKUP(A87,DB_Locations!A:F,6,FALSE)</f>
        <v>KARIM</v>
      </c>
      <c r="I87" s="162">
        <f>VLOOKUP(A87,DB_Locations!A:G,7,FALSE)</f>
        <v>0</v>
      </c>
      <c r="J87" s="162" t="str">
        <f>VLOOKUP(VLOOKUP(A87,DB_Locations!A:C,3,FALSE),DB_Appareils!A:B,2,FALSE)</f>
        <v>CONCENTRATEUR O2</v>
      </c>
      <c r="K87" s="161">
        <f>VLOOKUP(A87,DB_Locations!A:D,4,FALSE)</f>
        <v>45831</v>
      </c>
      <c r="L87" s="161" cm="1">
        <f t="array" ref="L87">IF(COUNTIF(DB_Paiements!B:B,A87)=0,"",LOOKUP(2,1/(DB_Paiements!B:B=A87),DB_Paiements!D:D))</f>
        <v>45831</v>
      </c>
      <c r="M87" s="161" cm="1">
        <f t="array" ref="M87">IF(COUNTIF(DB_Paiements!B:B,A87)=0,"",LOOKUP(2,1/(DB_Paiements!B:B=A87),DB_Paiements!E:E))</f>
        <v>45922</v>
      </c>
      <c r="N87" s="162" t="str" cm="1">
        <f t="array" ref="N87">IF(COUNTIF(DB_Paiements!B:B,A87)=0,"",LOOKUP(2,1/(DB_Paiements!B:B=A87),DB_Paiements!G:G))</f>
        <v>CNAM</v>
      </c>
      <c r="O87" s="162" cm="1">
        <f t="array" ref="O87">IF(COUNTIF(DB_Paiements!B:B,A87)=0,"",LOOKUP(2,1/(DB_Paiements!B:B=A87),DB_Paiements!F:F))</f>
        <v>570</v>
      </c>
      <c r="P87" s="160"/>
      <c r="Q87" s="162">
        <f ca="1">IF(M87&lt;&gt;"",TODAY()-M87,"")</f>
        <v>-27</v>
      </c>
      <c r="R87" s="162" t="str">
        <f>VLOOKUP(VLOOKUP(A87,DB_Locations!A:C,3,FALSE),DB_Appareils!A:F,6,FALSE)</f>
        <v>En location</v>
      </c>
      <c r="S87" s="162" t="str">
        <f>VLOOKUP(A87,DB_Locations!A:I,9,FALSE)</f>
        <v>Actif</v>
      </c>
      <c r="T87" s="162"/>
      <c r="U87" s="162"/>
      <c r="V87" s="162"/>
      <c r="W87" s="164"/>
    </row>
    <row r="88" spans="1:23" x14ac:dyDescent="0.25">
      <c r="A88" s="162" t="s">
        <v>1461</v>
      </c>
      <c r="B88" s="162" t="str">
        <f>VLOOKUP(VLOOKUP(A88,DB_Locations!A:B,2,FALSE),DB_Patients!A:B,2,FALSE)</f>
        <v>KITAR AICHA</v>
      </c>
      <c r="C88" s="162" t="str">
        <f>VLOOKUP(VLOOKUP(A88,DB_Locations!A:B,2,FALSE),DB_Patients!A:H,8,FALSE)&amp;IF(VLOOKUP(VLOOKUP(A88,DB_Locations!A:B,2,FALSE),DB_Patients!A:I,9,FALSE)&lt;&gt;""," ("&amp;VLOOKUP(VLOOKUP(A88,DB_Locations!A:B,2,FALSE),DB_Patients!A:I,9,FALSE)&amp;")","")</f>
        <v>26 565 878 MOUNIR/29 561 330 (52551280)</v>
      </c>
      <c r="D88" s="162" t="str">
        <f>VLOOKUP(VLOOKUP(A88,DB_Locations!A:B,2,FALSE),DB_Patients!A:J,10,FALSE)&amp;" ("&amp;VLOOKUP(VLOOKUP(A88,DB_Locations!A:B,2,FALSE),DB_Patients!A:K,11,FALSE)&amp;")"</f>
        <v>27413288 (98565879)</v>
      </c>
      <c r="E88" s="162" t="str">
        <f>VLOOKUP(VLOOKUP(A88,DB_Locations!A:B,2,FALSE),DB_Patients!A:F,6,FALSE)</f>
        <v>CHEBBA</v>
      </c>
      <c r="F88" s="162" t="str">
        <f>VLOOKUP(VLOOKUP(A88,DB_Locations!A:B,2,FALSE),DB_Patients!A:M,13,FALSE)</f>
        <v>CNAM</v>
      </c>
      <c r="G88" s="162" t="str">
        <f>VLOOKUP(VLOOKUP(A88,DB_Locations!A:B,2,FALSE),DB_Patients!A:L,12,FALSE)</f>
        <v>WAHID BRAHEM</v>
      </c>
      <c r="H88" s="162" t="str">
        <f>VLOOKUP(A88,DB_Locations!A:F,6,FALSE)</f>
        <v>KARIM</v>
      </c>
      <c r="I88" s="162">
        <f>VLOOKUP(A88,DB_Locations!A:G,7,FALSE)</f>
        <v>0</v>
      </c>
      <c r="J88" s="162" t="str">
        <f>VLOOKUP(VLOOKUP(A88,DB_Locations!A:C,3,FALSE),DB_Appareils!A:B,2,FALSE)</f>
        <v>VNI</v>
      </c>
      <c r="K88" s="161">
        <f>VLOOKUP(A88,DB_Locations!A:D,4,FALSE)</f>
        <v>45659</v>
      </c>
      <c r="L88" s="161" cm="1">
        <f t="array" ref="L88">IF(COUNTIF(DB_Paiements!B:B,A88)=0,"",LOOKUP(2,1/(DB_Paiements!B:B=A88),DB_Paiements!D:D))</f>
        <v>45779</v>
      </c>
      <c r="M88" s="161" cm="1">
        <f t="array" ref="M88">IF(COUNTIF(DB_Paiements!B:B,A88)=0,"",LOOKUP(2,1/(DB_Paiements!B:B=A88),DB_Paiements!E:E))</f>
        <v>45962</v>
      </c>
      <c r="N88" s="162" t="str" cm="1">
        <f t="array" ref="N88">IF(COUNTIF(DB_Paiements!B:B,A88)=0,"",LOOKUP(2,1/(DB_Paiements!B:B=A88),DB_Paiements!G:G))</f>
        <v>CNAM</v>
      </c>
      <c r="O88" s="162" cm="1">
        <f t="array" ref="O88">IF(COUNTIF(DB_Paiements!B:B,A88)=0,"",LOOKUP(2,1/(DB_Paiements!B:B=A88),DB_Paiements!F:F))</f>
        <v>2580</v>
      </c>
      <c r="P88" s="160"/>
      <c r="Q88" s="162">
        <f ca="1">IF(M88&lt;&gt;"",TODAY()-M88,"")</f>
        <v>-67</v>
      </c>
      <c r="R88" s="162" t="str">
        <f>VLOOKUP(VLOOKUP(A88,DB_Locations!A:C,3,FALSE),DB_Appareils!A:F,6,FALSE)</f>
        <v>En location</v>
      </c>
      <c r="S88" s="162" t="str">
        <f>VLOOKUP(A88,DB_Locations!A:I,9,FALSE)</f>
        <v>Actif</v>
      </c>
      <c r="T88" s="162"/>
      <c r="U88" s="162"/>
      <c r="V88" s="162"/>
      <c r="W88" s="164"/>
    </row>
    <row r="89" spans="1:23" hidden="1" x14ac:dyDescent="0.25">
      <c r="A89" s="162" t="s">
        <v>1462</v>
      </c>
      <c r="B89" s="162" t="str">
        <f>VLOOKUP(VLOOKUP(A89,DB_Locations!A:B,2,FALSE),DB_Patients!A:B,2,FALSE)</f>
        <v>BELLOTF NAJOUA</v>
      </c>
      <c r="C89" s="162" t="str">
        <f>VLOOKUP(VLOOKUP(A89,DB_Locations!A:B,2,FALSE),DB_Patients!A:H,8,FALSE)&amp;IF(VLOOKUP(VLOOKUP(A89,DB_Locations!A:B,2,FALSE),DB_Patients!A:I,9,FALSE)&lt;&gt;""," ("&amp;VLOOKUP(VLOOKUP(A89,DB_Locations!A:B,2,FALSE),DB_Patients!A:I,9,FALSE)&amp;")","")</f>
        <v>99095751</v>
      </c>
      <c r="D89" s="162" t="str">
        <f>VLOOKUP(VLOOKUP(A89,DB_Locations!A:B,2,FALSE),DB_Patients!A:J,10,FALSE)&amp;" ("&amp;VLOOKUP(VLOOKUP(A89,DB_Locations!A:B,2,FALSE),DB_Patients!A:K,11,FALSE)&amp;")"</f>
        <v>28777777 ()</v>
      </c>
      <c r="E89" s="162"/>
      <c r="F89" s="162" t="str">
        <f>VLOOKUP(VLOOKUP(A89,DB_Locations!A:B,2,FALSE),DB_Patients!A:M,13,FALSE)</f>
        <v>CNAM</v>
      </c>
      <c r="G89" s="162" t="str">
        <f>VLOOKUP(VLOOKUP(A89,DB_Locations!A:B,2,FALSE),DB_Patients!A:L,12,FALSE)</f>
        <v>AMENI MOKNI</v>
      </c>
      <c r="H89" s="162" t="str">
        <f>VLOOKUP(A89,DB_Locations!A:F,6,FALSE)</f>
        <v>BILEL BOUHLEL</v>
      </c>
      <c r="I89" s="162">
        <f>VLOOKUP(A89,DB_Locations!A:G,7,FALSE)</f>
        <v>0</v>
      </c>
      <c r="J89" s="162" t="str">
        <f>VLOOKUP(VLOOKUP(A89,DB_Locations!A:C,3,FALSE),DB_Appareils!A:B,2,FALSE)</f>
        <v>CONCENTRATEUR O2</v>
      </c>
      <c r="K89" s="161">
        <f>VLOOKUP(A89,DB_Locations!A:D,4,FALSE)</f>
        <v>45837</v>
      </c>
      <c r="L89" s="161" cm="1">
        <f t="array" ref="L89">IF(COUNTIF(DB_Paiements!B:B,A89)=0,"",LOOKUP(2,1/(DB_Paiements!B:B=A89),DB_Paiements!D:D))</f>
        <v>45837</v>
      </c>
      <c r="M89" s="161" cm="1">
        <f t="array" ref="M89">IF(COUNTIF(DB_Paiements!B:B,A89)=0,"",LOOKUP(2,1/(DB_Paiements!B:B=A89),DB_Paiements!E:E))</f>
        <v>45866</v>
      </c>
      <c r="N89" s="162" t="str" cm="1">
        <f t="array" ref="N89">IF(COUNTIF(DB_Paiements!B:B,A89)=0,"",LOOKUP(2,1/(DB_Paiements!B:B=A89),DB_Paiements!G:G))</f>
        <v>ESPECE</v>
      </c>
      <c r="O89" s="162" cm="1">
        <f t="array" ref="O89">IF(COUNTIF(DB_Paiements!B:B,A89)=0,"",LOOKUP(2,1/(DB_Paiements!B:B=A89),DB_Paiements!F:F))</f>
        <v>250</v>
      </c>
      <c r="P89" s="161"/>
      <c r="Q89" s="162">
        <f ca="1">IF(M89&lt;&gt;"",TODAY()-M89,"")</f>
        <v>29</v>
      </c>
      <c r="R89" s="162" t="str">
        <f>VLOOKUP(VLOOKUP(A89,DB_Locations!A:C,3,FALSE),DB_Appareils!A:F,6,FALSE)</f>
        <v>A VERIFIER</v>
      </c>
      <c r="S89" s="162" t="str">
        <f>VLOOKUP(A89,DB_Locations!A:I,9,FALSE)</f>
        <v>RETOUR</v>
      </c>
      <c r="T89" s="162"/>
      <c r="U89" s="162"/>
      <c r="V89" s="162"/>
      <c r="W89" s="164"/>
    </row>
    <row r="90" spans="1:23" hidden="1" x14ac:dyDescent="0.25">
      <c r="A90" s="162" t="s">
        <v>1463</v>
      </c>
      <c r="B90" s="162" t="str">
        <f>VLOOKUP(VLOOKUP(A90,DB_Locations!A:B,2,FALSE),DB_Patients!A:B,2,FALSE)</f>
        <v>BELLOTF NAJOUA</v>
      </c>
      <c r="C90" s="162" t="str">
        <f>VLOOKUP(VLOOKUP(A90,DB_Locations!A:B,2,FALSE),DB_Patients!A:H,8,FALSE)&amp;IF(VLOOKUP(VLOOKUP(A90,DB_Locations!A:B,2,FALSE),DB_Patients!A:I,9,FALSE)&lt;&gt;""," ("&amp;VLOOKUP(VLOOKUP(A90,DB_Locations!A:B,2,FALSE),DB_Patients!A:I,9,FALSE)&amp;")","")</f>
        <v>99095751</v>
      </c>
      <c r="D90" s="162" t="str">
        <f>VLOOKUP(VLOOKUP(A90,DB_Locations!A:B,2,FALSE),DB_Patients!A:J,10,FALSE)&amp;" ("&amp;VLOOKUP(VLOOKUP(A90,DB_Locations!A:B,2,FALSE),DB_Patients!A:K,11,FALSE)&amp;")"</f>
        <v>28777777 ()</v>
      </c>
      <c r="E90" s="162"/>
      <c r="F90" s="162" t="str">
        <f>VLOOKUP(VLOOKUP(A90,DB_Locations!A:B,2,FALSE),DB_Patients!A:M,13,FALSE)</f>
        <v>CNAM</v>
      </c>
      <c r="G90" s="162" t="str">
        <f>VLOOKUP(VLOOKUP(A90,DB_Locations!A:B,2,FALSE),DB_Patients!A:L,12,FALSE)</f>
        <v>AMENI MOKNI</v>
      </c>
      <c r="H90" s="162" t="str">
        <f>VLOOKUP(A90,DB_Locations!A:F,6,FALSE)</f>
        <v>BILEL BOUHLEL</v>
      </c>
      <c r="I90" s="162">
        <f>VLOOKUP(A90,DB_Locations!A:G,7,FALSE)</f>
        <v>0</v>
      </c>
      <c r="J90" s="162" t="str">
        <f>VLOOKUP(VLOOKUP(A90,DB_Locations!A:C,3,FALSE),DB_Appareils!A:B,2,FALSE)</f>
        <v>VNI</v>
      </c>
      <c r="K90" s="161">
        <f>VLOOKUP(A90,DB_Locations!A:D,4,FALSE)</f>
        <v>45831</v>
      </c>
      <c r="L90" s="161" cm="1">
        <f t="array" ref="L90">IF(COUNTIF(DB_Paiements!B:B,A90)=0,"",LOOKUP(2,1/(DB_Paiements!B:B=A90),DB_Paiements!D:D))</f>
        <v>45831</v>
      </c>
      <c r="M90" s="161" cm="1">
        <f t="array" ref="M90">IF(COUNTIF(DB_Paiements!B:B,A90)=0,"",LOOKUP(2,1/(DB_Paiements!B:B=A90),DB_Paiements!E:E))</f>
        <v>45860</v>
      </c>
      <c r="N90" s="162" t="str" cm="1">
        <f t="array" ref="N90">IF(COUNTIF(DB_Paiements!B:B,A90)=0,"",LOOKUP(2,1/(DB_Paiements!B:B=A90),DB_Paiements!G:G))</f>
        <v>ESPECE</v>
      </c>
      <c r="O90" s="162" cm="1">
        <f t="array" ref="O90">IF(COUNTIF(DB_Paiements!B:B,A90)=0,"",LOOKUP(2,1/(DB_Paiements!B:B=A90),DB_Paiements!F:F))</f>
        <v>450</v>
      </c>
      <c r="P90" s="161"/>
      <c r="Q90" s="162">
        <f ca="1">IF(M90&lt;&gt;"",TODAY()-M90,"")</f>
        <v>35</v>
      </c>
      <c r="R90" s="162" t="str">
        <f>VLOOKUP(VLOOKUP(A90,DB_Locations!A:C,3,FALSE),DB_Appareils!A:F,6,FALSE)</f>
        <v>A VERIFIER</v>
      </c>
      <c r="S90" s="162" t="str">
        <f>VLOOKUP(A90,DB_Locations!A:I,9,FALSE)</f>
        <v>RETOUR</v>
      </c>
      <c r="T90" s="162"/>
      <c r="U90" s="162"/>
      <c r="V90" s="162"/>
      <c r="W90" s="164"/>
    </row>
    <row r="91" spans="1:23" hidden="1" x14ac:dyDescent="0.25">
      <c r="A91" s="162" t="s">
        <v>1464</v>
      </c>
      <c r="B91" s="162" t="str">
        <f>VLOOKUP(VLOOKUP(A91,DB_Locations!A:B,2,FALSE),DB_Patients!A:B,2,FALSE)</f>
        <v>BELLOTF NAJOUA</v>
      </c>
      <c r="C91" s="162" t="str">
        <f>VLOOKUP(VLOOKUP(A91,DB_Locations!A:B,2,FALSE),DB_Patients!A:H,8,FALSE)&amp;IF(VLOOKUP(VLOOKUP(A91,DB_Locations!A:B,2,FALSE),DB_Patients!A:I,9,FALSE)&lt;&gt;""," ("&amp;VLOOKUP(VLOOKUP(A91,DB_Locations!A:B,2,FALSE),DB_Patients!A:I,9,FALSE)&amp;")","")</f>
        <v>99095751</v>
      </c>
      <c r="D91" s="162" t="str">
        <f>VLOOKUP(VLOOKUP(A91,DB_Locations!A:B,2,FALSE),DB_Patients!A:J,10,FALSE)&amp;" ("&amp;VLOOKUP(VLOOKUP(A91,DB_Locations!A:B,2,FALSE),DB_Patients!A:K,11,FALSE)&amp;")"</f>
        <v>28777777 ()</v>
      </c>
      <c r="E91" s="162"/>
      <c r="F91" s="162" t="str">
        <f>VLOOKUP(VLOOKUP(A91,DB_Locations!A:B,2,FALSE),DB_Patients!A:M,13,FALSE)</f>
        <v>CNAM</v>
      </c>
      <c r="G91" s="162" t="str">
        <f>VLOOKUP(VLOOKUP(A91,DB_Locations!A:B,2,FALSE),DB_Patients!A:L,12,FALSE)</f>
        <v>AMENI MOKNI</v>
      </c>
      <c r="H91" s="162" t="str">
        <f>VLOOKUP(A91,DB_Locations!A:F,6,FALSE)</f>
        <v>BILEL BOUHLEL</v>
      </c>
      <c r="I91" s="162">
        <f>VLOOKUP(A91,DB_Locations!A:G,7,FALSE)</f>
        <v>0</v>
      </c>
      <c r="J91" s="162" t="str">
        <f>VLOOKUP(VLOOKUP(A91,DB_Locations!A:C,3,FALSE),DB_Appareils!A:B,2,FALSE)</f>
        <v>BOUTEIL O2</v>
      </c>
      <c r="K91" s="161">
        <f>VLOOKUP(A91,DB_Locations!A:D,4,FALSE)</f>
        <v>45837</v>
      </c>
      <c r="L91" s="161" cm="1">
        <f t="array" ref="L91">IF(COUNTIF(DB_Paiements!B:B,A91)=0,"",LOOKUP(2,1/(DB_Paiements!B:B=A91),DB_Paiements!D:D))</f>
        <v>45837</v>
      </c>
      <c r="M91" s="161" cm="1">
        <f t="array" ref="M91">IF(COUNTIF(DB_Paiements!B:B,A91)=0,"",LOOKUP(2,1/(DB_Paiements!B:B=A91),DB_Paiements!E:E))</f>
        <v>45866</v>
      </c>
      <c r="N91" s="162" t="str" cm="1">
        <f t="array" ref="N91">IF(COUNTIF(DB_Paiements!B:B,A91)=0,"",LOOKUP(2,1/(DB_Paiements!B:B=A91),DB_Paiements!G:G))</f>
        <v>ESPECE</v>
      </c>
      <c r="O91" s="162" cm="1">
        <f t="array" ref="O91">IF(COUNTIF(DB_Paiements!B:B,A91)=0,"",LOOKUP(2,1/(DB_Paiements!B:B=A91),DB_Paiements!F:F))</f>
        <v>100</v>
      </c>
      <c r="P91" s="161"/>
      <c r="Q91" s="162">
        <f ca="1">IF(M91&lt;&gt;"",TODAY()-M91,"")</f>
        <v>29</v>
      </c>
      <c r="R91" s="162" t="str">
        <f>VLOOKUP(VLOOKUP(A91,DB_Locations!A:C,3,FALSE),DB_Appareils!A:F,6,FALSE)</f>
        <v>STCOCK ACHRAF</v>
      </c>
      <c r="S91" s="162" t="str">
        <f>VLOOKUP(A91,DB_Locations!A:I,9,FALSE)</f>
        <v>RETOUR</v>
      </c>
      <c r="T91" s="162"/>
      <c r="U91" s="162"/>
      <c r="V91" s="162"/>
      <c r="W91" s="164"/>
    </row>
    <row r="92" spans="1:23" x14ac:dyDescent="0.25">
      <c r="A92" s="162" t="s">
        <v>1465</v>
      </c>
      <c r="B92" s="162" t="str">
        <f>VLOOKUP(VLOOKUP(A92,DB_Locations!A:B,2,FALSE),DB_Patients!A:B,2,FALSE)</f>
        <v>BORJI NAJIB</v>
      </c>
      <c r="C92" s="162" t="str">
        <f>VLOOKUP(VLOOKUP(A92,DB_Locations!A:B,2,FALSE),DB_Patients!A:H,8,FALSE)&amp;IF(VLOOKUP(VLOOKUP(A92,DB_Locations!A:B,2,FALSE),DB_Patients!A:I,9,FALSE)&lt;&gt;""," ("&amp;VLOOKUP(VLOOKUP(A92,DB_Locations!A:B,2,FALSE),DB_Patients!A:I,9,FALSE)&amp;")","")</f>
        <v>99538800</v>
      </c>
      <c r="D92" s="162" t="str">
        <f>VLOOKUP(VLOOKUP(A92,DB_Locations!A:B,2,FALSE),DB_Patients!A:J,10,FALSE)&amp;" ("&amp;VLOOKUP(VLOOKUP(A92,DB_Locations!A:B,2,FALSE),DB_Patients!A:K,11,FALSE)&amp;")"</f>
        <v>55473220 ()</v>
      </c>
      <c r="E92" s="162" t="str">
        <f>VLOOKUP(VLOOKUP(A92,DB_Locations!A:B,2,FALSE),DB_Patients!A:F,6,FALSE)</f>
        <v>SOUSSE</v>
      </c>
      <c r="F92" s="162" t="str">
        <f>VLOOKUP(VLOOKUP(A92,DB_Locations!A:B,2,FALSE),DB_Patients!A:M,13,FALSE)</f>
        <v>ESPECE</v>
      </c>
      <c r="G92" s="162" t="str">
        <f>VLOOKUP(VLOOKUP(A92,DB_Locations!A:B,2,FALSE),DB_Patients!A:L,12,FALSE)</f>
        <v>SALSABIL BOUAFIA</v>
      </c>
      <c r="H92" s="162" t="str">
        <f>VLOOKUP(A92,DB_Locations!A:F,6,FALSE)</f>
        <v>KARIM</v>
      </c>
      <c r="I92" s="162">
        <f>VLOOKUP(A92,DB_Locations!A:G,7,FALSE)</f>
        <v>0</v>
      </c>
      <c r="J92" s="162" t="str">
        <f>VLOOKUP(VLOOKUP(A92,DB_Locations!A:C,3,FALSE),DB_Appareils!A:B,2,FALSE)</f>
        <v>CONCENTRATEUR O2</v>
      </c>
      <c r="K92" s="161">
        <f>VLOOKUP(A92,DB_Locations!A:D,4,FALSE)</f>
        <v>45838</v>
      </c>
      <c r="L92" s="161" cm="1">
        <f t="array" ref="L92">IF(COUNTIF(DB_Paiements!B:B,A92)=0,"",LOOKUP(2,1/(DB_Paiements!B:B=A92),DB_Paiements!D:D))</f>
        <v>45868</v>
      </c>
      <c r="M92" s="161" cm="1">
        <f t="array" ref="M92">IF(COUNTIF(DB_Paiements!B:B,A92)=0,"",LOOKUP(2,1/(DB_Paiements!B:B=A92),DB_Paiements!E:E))</f>
        <v>45898</v>
      </c>
      <c r="N92" s="162" t="str" cm="1">
        <f t="array" ref="N92">IF(COUNTIF(DB_Paiements!B:B,A92)=0,"",LOOKUP(2,1/(DB_Paiements!B:B=A92),DB_Paiements!G:G))</f>
        <v>ESPECE</v>
      </c>
      <c r="O92" s="162" cm="1">
        <f t="array" ref="O92">IF(COUNTIF(DB_Paiements!B:B,A92)=0,"",LOOKUP(2,1/(DB_Paiements!B:B=A92),DB_Paiements!F:F))</f>
        <v>250</v>
      </c>
      <c r="P92" s="160" t="s">
        <v>1885</v>
      </c>
      <c r="Q92" s="162">
        <f ca="1">IF(M92&lt;&gt;"",TODAY()-M92,"")</f>
        <v>-3</v>
      </c>
      <c r="R92" s="162" t="str">
        <f>VLOOKUP(VLOOKUP(A92,DB_Locations!A:C,3,FALSE),DB_Appareils!A:F,6,FALSE)</f>
        <v xml:space="preserve">En location </v>
      </c>
      <c r="S92" s="162" t="str">
        <f>VLOOKUP(A92,DB_Locations!A:I,9,FALSE)</f>
        <v>Actif</v>
      </c>
      <c r="T92" s="162"/>
      <c r="U92" s="162"/>
      <c r="V92" s="164" t="str">
        <f ca="1">IF(U92&lt;&gt;"",TODAY()-U92,"")</f>
        <v/>
      </c>
      <c r="W92" s="164"/>
    </row>
    <row r="93" spans="1:23" x14ac:dyDescent="0.25">
      <c r="A93" s="162" t="s">
        <v>1466</v>
      </c>
      <c r="B93" s="162" t="str">
        <f>VLOOKUP(VLOOKUP(A93,DB_Locations!A:B,2,FALSE),DB_Patients!A:B,2,FALSE)</f>
        <v>BEN AFIA FREDJ</v>
      </c>
      <c r="C93" s="162" t="str">
        <f>VLOOKUP(VLOOKUP(A93,DB_Locations!A:B,2,FALSE),DB_Patients!A:H,8,FALSE)&amp;IF(VLOOKUP(VLOOKUP(A93,DB_Locations!A:B,2,FALSE),DB_Patients!A:I,9,FALSE)&lt;&gt;""," ("&amp;VLOOKUP(VLOOKUP(A93,DB_Locations!A:B,2,FALSE),DB_Patients!A:I,9,FALSE)&amp;")","")</f>
        <v>24554326 (FILS)</v>
      </c>
      <c r="D93" s="162" t="str">
        <f>VLOOKUP(VLOOKUP(A93,DB_Locations!A:B,2,FALSE),DB_Patients!A:J,10,FALSE)&amp;" ("&amp;VLOOKUP(VLOOKUP(A93,DB_Locations!A:B,2,FALSE),DB_Patients!A:K,11,FALSE)&amp;")"</f>
        <v>97834773 (FILS)</v>
      </c>
      <c r="E93" s="162" t="str">
        <f>VLOOKUP(VLOOKUP(A93,DB_Locations!A:B,2,FALSE),DB_Patients!A:F,6,FALSE)</f>
        <v>KALAA KBIRA</v>
      </c>
      <c r="F93" s="162" t="str">
        <f>VLOOKUP(VLOOKUP(A93,DB_Locations!A:B,2,FALSE),DB_Patients!A:M,13,FALSE)</f>
        <v>CNAM</v>
      </c>
      <c r="G93" s="162" t="str">
        <f>VLOOKUP(VLOOKUP(A93,DB_Locations!A:B,2,FALSE),DB_Patients!A:L,12,FALSE)</f>
        <v>SALSABIL BOUAFIA</v>
      </c>
      <c r="H93" s="162" t="str">
        <f>VLOOKUP(A93,DB_Locations!A:F,6,FALSE)</f>
        <v>KARIM</v>
      </c>
      <c r="I93" s="162">
        <f>VLOOKUP(A93,DB_Locations!A:G,7,FALSE)</f>
        <v>0</v>
      </c>
      <c r="J93" s="162" t="str">
        <f>VLOOKUP(VLOOKUP(A93,DB_Locations!A:C,3,FALSE),DB_Appareils!A:B,2,FALSE)</f>
        <v xml:space="preserve">CONCENTRATEUR O2 </v>
      </c>
      <c r="K93" s="161">
        <f>VLOOKUP(A93,DB_Locations!A:D,4,FALSE)</f>
        <v>45850</v>
      </c>
      <c r="L93" s="161" cm="1">
        <f t="array" ref="L93">IF(COUNTIF(DB_Paiements!B:B,A93)=0,"",LOOKUP(2,1/(DB_Paiements!B:B=A93),DB_Paiements!D:D))</f>
        <v>45854</v>
      </c>
      <c r="M93" s="161" cm="1">
        <f t="array" ref="M93">IF(COUNTIF(DB_Paiements!B:B,A93)=0,"",LOOKUP(2,1/(DB_Paiements!B:B=A93),DB_Paiements!E:E))</f>
        <v>45945</v>
      </c>
      <c r="N93" s="162" t="str" cm="1">
        <f t="array" ref="N93">IF(COUNTIF(DB_Paiements!B:B,A93)=0,"",LOOKUP(2,1/(DB_Paiements!B:B=A93),DB_Paiements!G:G))</f>
        <v>CNAM</v>
      </c>
      <c r="O93" s="162" cm="1">
        <f t="array" ref="O93">IF(COUNTIF(DB_Paiements!B:B,A93)=0,"",LOOKUP(2,1/(DB_Paiements!B:B=A93),DB_Paiements!F:F))</f>
        <v>570</v>
      </c>
      <c r="P93" s="160">
        <v>45943</v>
      </c>
      <c r="Q93" s="162">
        <f ca="1">IF(M93&lt;&gt;"",TODAY()-M93,"")</f>
        <v>-50</v>
      </c>
      <c r="R93" s="162" t="str">
        <f>VLOOKUP(VLOOKUP(A93,DB_Locations!A:C,3,FALSE),DB_Appareils!A:F,6,FALSE)</f>
        <v xml:space="preserve">En location </v>
      </c>
      <c r="S93" s="162" t="str">
        <f>VLOOKUP(A93,DB_Locations!A:I,9,FALSE)</f>
        <v>Actif</v>
      </c>
      <c r="T93" s="162"/>
      <c r="U93" s="162"/>
      <c r="V93" s="162"/>
      <c r="W93" s="164" t="s">
        <v>2488</v>
      </c>
    </row>
    <row r="94" spans="1:23" x14ac:dyDescent="0.25">
      <c r="A94" s="162" t="s">
        <v>1442</v>
      </c>
      <c r="B94" s="162" t="str">
        <f>VLOOKUP(VLOOKUP(A94,DB_Locations!A:B,2,FALSE),DB_Patients!A:B,2,FALSE)</f>
        <v>CHATBERI ALI</v>
      </c>
      <c r="C94" s="162" t="str">
        <f>VLOOKUP(VLOOKUP(A94,DB_Locations!A:B,2,FALSE),DB_Patients!A:H,8,FALSE)&amp;IF(VLOOKUP(VLOOKUP(A94,DB_Locations!A:B,2,FALSE),DB_Patients!A:I,9,FALSE)&lt;&gt;""," ("&amp;VLOOKUP(VLOOKUP(A94,DB_Locations!A:B,2,FALSE),DB_Patients!A:I,9,FALSE)&amp;")","")</f>
        <v>21 251 209 FILLE/55546542</v>
      </c>
      <c r="D94" s="162" t="str">
        <f>VLOOKUP(VLOOKUP(A94,DB_Locations!A:B,2,FALSE),DB_Patients!A:J,10,FALSE)&amp;" ("&amp;VLOOKUP(VLOOKUP(A94,DB_Locations!A:B,2,FALSE),DB_Patients!A:K,11,FALSE)&amp;")"</f>
        <v>54416999 (SA FILLE)</v>
      </c>
      <c r="E94" s="162" t="str">
        <f>VLOOKUP(VLOOKUP(A94,DB_Locations!A:B,2,FALSE),DB_Patients!A:F,6,FALSE)</f>
        <v>BOUHSINA</v>
      </c>
      <c r="F94" s="162" t="str">
        <f>VLOOKUP(VLOOKUP(A94,DB_Locations!A:B,2,FALSE),DB_Patients!A:M,13,FALSE)</f>
        <v>CNAM</v>
      </c>
      <c r="G94" s="162" t="str">
        <f>VLOOKUP(VLOOKUP(A94,DB_Locations!A:B,2,FALSE),DB_Patients!A:L,12,FALSE)</f>
        <v>GARGOURI IMEN</v>
      </c>
      <c r="H94" s="162" t="str">
        <f>VLOOKUP(A94,DB_Locations!A:F,6,FALSE)</f>
        <v>BILEL BOUHLEL</v>
      </c>
      <c r="I94" s="162">
        <f>VLOOKUP(A94,DB_Locations!A:G,7,FALSE)</f>
        <v>0</v>
      </c>
      <c r="J94" s="162" t="str">
        <f>VLOOKUP(VLOOKUP(A94,DB_Locations!A:C,3,FALSE),DB_Appareils!A:B,2,FALSE)</f>
        <v>CONCENTRATEUR O2</v>
      </c>
      <c r="K94" s="161">
        <f>VLOOKUP(A94,DB_Locations!A:D,4,FALSE)</f>
        <v>45730</v>
      </c>
      <c r="L94" s="161" cm="1">
        <f t="array" ref="L94">IF(COUNTIF(DB_Paiements!B:B,A94)=0,"",LOOKUP(2,1/(DB_Paiements!B:B=A94),DB_Paiements!D:D))</f>
        <v>45832</v>
      </c>
      <c r="M94" s="161">
        <f>IF(COUNTIF(DB_Paiements!B:B,A94)=0,"",LOOKUP(2,1/(DB_Paiements!B:B=A94),DB_Paiements!E:E))</f>
        <v>45923</v>
      </c>
      <c r="N94" s="162" t="str" cm="1">
        <f t="array" ref="N94">IF(COUNTIF(DB_Paiements!B:B,A94)=0,"",LOOKUP(2,1/(DB_Paiements!B:B=A94),DB_Paiements!G:G))</f>
        <v>CNAM</v>
      </c>
      <c r="O94" s="162" cm="1">
        <f t="array" ref="O94">IF(COUNTIF(DB_Paiements!B:B,A94)=0,"",LOOKUP(2,1/(DB_Paiements!B:B=A94),DB_Paiements!F:F))</f>
        <v>570</v>
      </c>
      <c r="P94" s="160"/>
      <c r="Q94" s="162">
        <f ca="1">IF(M94&lt;&gt;"",TODAY()-M94,"")</f>
        <v>-28</v>
      </c>
      <c r="R94" s="162" t="str">
        <f>VLOOKUP(VLOOKUP(A94,DB_Locations!A:C,3,FALSE),DB_Appareils!A:F,6,FALSE)</f>
        <v>En location</v>
      </c>
      <c r="S94" s="162" t="str">
        <f>VLOOKUP(A94,DB_Locations!A:I,9,FALSE)</f>
        <v>Actif</v>
      </c>
      <c r="T94" s="162" t="s">
        <v>2329</v>
      </c>
      <c r="U94" s="162"/>
      <c r="V94" s="164" t="str">
        <f ca="1">IF(U94&lt;&gt;"",TODAY()-U94,"")</f>
        <v/>
      </c>
      <c r="W94" s="164" t="s">
        <v>2393</v>
      </c>
    </row>
    <row r="95" spans="1:23" x14ac:dyDescent="0.25">
      <c r="A95" s="162" t="s">
        <v>1443</v>
      </c>
      <c r="B95" s="162" t="str">
        <f>VLOOKUP(VLOOKUP(A95,DB_Locations!A:B,2,FALSE),DB_Patients!A:B,2,FALSE)</f>
        <v>CHATBERI ALI</v>
      </c>
      <c r="C95" s="162" t="str">
        <f>VLOOKUP(VLOOKUP(A95,DB_Locations!A:B,2,FALSE),DB_Patients!A:H,8,FALSE)&amp;IF(VLOOKUP(VLOOKUP(A95,DB_Locations!A:B,2,FALSE),DB_Patients!A:I,9,FALSE)&lt;&gt;""," ("&amp;VLOOKUP(VLOOKUP(A95,DB_Locations!A:B,2,FALSE),DB_Patients!A:I,9,FALSE)&amp;")","")</f>
        <v>21 251 209 FILLE/55546542</v>
      </c>
      <c r="D95" s="162" t="str">
        <f>VLOOKUP(VLOOKUP(A95,DB_Locations!A:B,2,FALSE),DB_Patients!A:J,10,FALSE)&amp;" ("&amp;VLOOKUP(VLOOKUP(A95,DB_Locations!A:B,2,FALSE),DB_Patients!A:K,11,FALSE)&amp;")"</f>
        <v>54416999 (SA FILLE)</v>
      </c>
      <c r="E95" s="162" t="str">
        <f>VLOOKUP(VLOOKUP(A95,DB_Locations!A:B,2,FALSE),DB_Patients!A:F,6,FALSE)</f>
        <v>BOUHSINA</v>
      </c>
      <c r="F95" s="162" t="str">
        <f>VLOOKUP(VLOOKUP(A95,DB_Locations!A:B,2,FALSE),DB_Patients!A:M,13,FALSE)</f>
        <v>CNAM</v>
      </c>
      <c r="G95" s="162" t="str">
        <f>VLOOKUP(VLOOKUP(A95,DB_Locations!A:B,2,FALSE),DB_Patients!A:L,12,FALSE)</f>
        <v>GARGOURI IMEN</v>
      </c>
      <c r="H95" s="162" t="str">
        <f>VLOOKUP(A95,DB_Locations!A:F,6,FALSE)</f>
        <v>BILEL BOUHLEL</v>
      </c>
      <c r="I95" s="162">
        <f>VLOOKUP(A95,DB_Locations!A:G,7,FALSE)</f>
        <v>0</v>
      </c>
      <c r="J95" s="162" t="str">
        <f>VLOOKUP(VLOOKUP(A95,DB_Locations!A:C,3,FALSE),DB_Appareils!A:B,2,FALSE)</f>
        <v>VNI</v>
      </c>
      <c r="K95" s="161">
        <f>VLOOKUP(A95,DB_Locations!A:D,4,FALSE)</f>
        <v>45730</v>
      </c>
      <c r="L95" s="161" cm="1">
        <f t="array" ref="L95">IF(COUNTIF(DB_Paiements!B:B,A95)=0,"",LOOKUP(2,1/(DB_Paiements!B:B=A95),DB_Paiements!D:D))</f>
        <v>45740</v>
      </c>
      <c r="M95" s="161" cm="1">
        <f t="array" ref="M95">IF(COUNTIF(DB_Paiements!B:B,A95)=0,"",LOOKUP(2,1/(DB_Paiements!B:B=A95),DB_Paiements!E:E))</f>
        <v>45923</v>
      </c>
      <c r="N95" s="162" t="str" cm="1">
        <f t="array" ref="N95">IF(COUNTIF(DB_Paiements!B:B,A95)=0,"",LOOKUP(2,1/(DB_Paiements!B:B=A95),DB_Paiements!G:G))</f>
        <v>CNAM</v>
      </c>
      <c r="O95" s="162" cm="1">
        <f t="array" ref="O95">IF(COUNTIF(DB_Paiements!B:B,A95)=0,"",LOOKUP(2,1/(DB_Paiements!B:B=A95),DB_Paiements!F:F))</f>
        <v>2580</v>
      </c>
      <c r="P95" s="160"/>
      <c r="Q95" s="162">
        <f ca="1">IF(M95&lt;&gt;"",TODAY()-M95,"")</f>
        <v>-28</v>
      </c>
      <c r="R95" s="162" t="str">
        <f>VLOOKUP(VLOOKUP(A95,DB_Locations!A:C,3,FALSE),DB_Appareils!A:F,6,FALSE)</f>
        <v>En location</v>
      </c>
      <c r="S95" s="162" t="str">
        <f>VLOOKUP(A95,DB_Locations!A:I,9,FALSE)</f>
        <v>Actif</v>
      </c>
      <c r="T95" s="162"/>
      <c r="U95" s="162"/>
      <c r="V95" s="162"/>
      <c r="W95" s="164"/>
    </row>
    <row r="96" spans="1:23" x14ac:dyDescent="0.25">
      <c r="A96" s="162" t="s">
        <v>1469</v>
      </c>
      <c r="B96" s="162" t="str">
        <f>VLOOKUP(VLOOKUP(A96,DB_Locations!A:B,2,FALSE),DB_Patients!A:B,2,FALSE)</f>
        <v>OUESSLETI MONIA</v>
      </c>
      <c r="C96" s="162" t="str">
        <f>VLOOKUP(VLOOKUP(A96,DB_Locations!A:B,2,FALSE),DB_Patients!A:H,8,FALSE)&amp;IF(VLOOKUP(VLOOKUP(A96,DB_Locations!A:B,2,FALSE),DB_Patients!A:I,9,FALSE)&lt;&gt;""," ("&amp;VLOOKUP(VLOOKUP(A96,DB_Locations!A:B,2,FALSE),DB_Patients!A:I,9,FALSE)&amp;")","")</f>
        <v>52511686</v>
      </c>
      <c r="D96" s="162" t="str">
        <f>VLOOKUP(VLOOKUP(A96,DB_Locations!A:B,2,FALSE),DB_Patients!A:J,10,FALSE)&amp;" ("&amp;VLOOKUP(VLOOKUP(A96,DB_Locations!A:B,2,FALSE),DB_Patients!A:K,11,FALSE)&amp;")"</f>
        <v>29319857 (JARETHA)</v>
      </c>
      <c r="E96" s="162" t="str">
        <f>VLOOKUP(VLOOKUP(A96,DB_Locations!A:B,2,FALSE),DB_Patients!A:F,6,FALSE)</f>
        <v>OUARDANINE</v>
      </c>
      <c r="F96" s="162" t="str">
        <f>VLOOKUP(VLOOKUP(A96,DB_Locations!A:B,2,FALSE),DB_Patients!A:M,13,FALSE)</f>
        <v>CNAM</v>
      </c>
      <c r="G96" s="162" t="str">
        <f>VLOOKUP(VLOOKUP(A96,DB_Locations!A:B,2,FALSE),DB_Patients!A:L,12,FALSE)</f>
        <v>ABDELHAMID GARROUCH</v>
      </c>
      <c r="H96" s="162" t="str">
        <f>VLOOKUP(A96,DB_Locations!A:F,6,FALSE)</f>
        <v>KARIM</v>
      </c>
      <c r="I96" s="162">
        <f>VLOOKUP(A96,DB_Locations!A:G,7,FALSE)</f>
        <v>0</v>
      </c>
      <c r="J96" s="162" t="str">
        <f>VLOOKUP(VLOOKUP(A96,DB_Locations!A:C,3,FALSE),DB_Appareils!A:B,2,FALSE)</f>
        <v>CONCENTRATEUR O2</v>
      </c>
      <c r="K96" s="161">
        <f>VLOOKUP(A96,DB_Locations!A:D,4,FALSE)</f>
        <v>45848</v>
      </c>
      <c r="L96" s="161" cm="1">
        <f t="array" aca="1" ref="L96" ca="1">IF(COUNTIF(DB_Paiements!B:B,A96)=0,"",LOOKUP(2,1/(DB_Paiements!B:B=A96),DB_Paiements!D:D))</f>
        <v>45895</v>
      </c>
      <c r="M96" s="161" cm="1">
        <f t="array" ref="M96">IF(COUNTIF(DB_Paiements!B:B,A96)=0,"",LOOKUP(2,1/(DB_Paiements!B:B=A96),DB_Paiements!E:E))</f>
        <v>45848</v>
      </c>
      <c r="N96" s="162" t="str" cm="1">
        <f t="array" ref="N96">IF(COUNTIF(DB_Paiements!B:B,A96)=0,"",LOOKUP(2,1/(DB_Paiements!B:B=A96),DB_Paiements!G:G))</f>
        <v>CNAM</v>
      </c>
      <c r="O96" s="162" cm="1">
        <f t="array" aca="1" ref="O96" ca="1">IF(COUNTIF(DB_Paiements!B:B,A96)=0,"",LOOKUP(2,1/(DB_Paiements!B:B=A96),DB_Paiements!F:F))</f>
        <v>-380</v>
      </c>
      <c r="P96" s="160"/>
      <c r="Q96" s="162">
        <f ca="1">IF(M96&lt;&gt;"",TODAY()-M96,"")</f>
        <v>47</v>
      </c>
      <c r="R96" s="162" t="str">
        <f>VLOOKUP(VLOOKUP(A96,DB_Locations!A:C,3,FALSE),DB_Appareils!A:F,6,FALSE)</f>
        <v>En location</v>
      </c>
      <c r="S96" s="162" t="str">
        <f>VLOOKUP(A96,DB_Locations!A:I,9,FALSE)</f>
        <v>Actif</v>
      </c>
      <c r="T96" s="162"/>
      <c r="U96" s="162"/>
      <c r="V96" s="164" t="str">
        <f ca="1">IF(U96&lt;&gt;"",TODAY()-U96,"")</f>
        <v/>
      </c>
      <c r="W96" s="164" t="s">
        <v>1894</v>
      </c>
    </row>
    <row r="97" spans="1:23" x14ac:dyDescent="0.25">
      <c r="A97" s="162" t="s">
        <v>1470</v>
      </c>
      <c r="B97" s="162" t="str">
        <f>VLOOKUP(VLOOKUP(A97,DB_Locations!A:B,2,FALSE),DB_Patients!A:B,2,FALSE)</f>
        <v>MARNAOUI HABIB</v>
      </c>
      <c r="C97" s="162" t="str">
        <f>VLOOKUP(VLOOKUP(A97,DB_Locations!A:B,2,FALSE),DB_Patients!A:H,8,FALSE)&amp;IF(VLOOKUP(VLOOKUP(A97,DB_Locations!A:B,2,FALSE),DB_Patients!A:I,9,FALSE)&lt;&gt;""," ("&amp;VLOOKUP(VLOOKUP(A97,DB_Locations!A:B,2,FALSE),DB_Patients!A:I,9,FALSE)&amp;")","")</f>
        <v>56129207 (SA FILLE)</v>
      </c>
      <c r="D97" s="162" t="str">
        <f>VLOOKUP(VLOOKUP(A97,DB_Locations!A:B,2,FALSE),DB_Patients!A:J,10,FALSE)&amp;" ("&amp;VLOOKUP(VLOOKUP(A97,DB_Locations!A:B,2,FALSE),DB_Patients!A:K,11,FALSE)&amp;")"</f>
        <v>55 767 643 PERSO (95988399)</v>
      </c>
      <c r="E97" s="162" t="str">
        <f>VLOOKUP(VLOOKUP(A97,DB_Locations!A:B,2,FALSE),DB_Patients!A:F,6,FALSE)</f>
        <v>AKOUDA</v>
      </c>
      <c r="F97" s="162" t="str">
        <f>VLOOKUP(VLOOKUP(A97,DB_Locations!A:B,2,FALSE),DB_Patients!A:M,13,FALSE)</f>
        <v>CNAM</v>
      </c>
      <c r="G97" s="162" t="str">
        <f>VLOOKUP(VLOOKUP(A97,DB_Locations!A:B,2,FALSE),DB_Patients!A:L,12,FALSE)</f>
        <v>AMENI MOKNI</v>
      </c>
      <c r="H97" s="162" t="str">
        <f>VLOOKUP(A97,DB_Locations!A:F,6,FALSE)</f>
        <v>KARIM</v>
      </c>
      <c r="I97" s="162">
        <f>VLOOKUP(A97,DB_Locations!A:G,7,FALSE)</f>
        <v>0</v>
      </c>
      <c r="J97" s="162" t="str">
        <f>VLOOKUP(VLOOKUP(A97,DB_Locations!A:C,3,FALSE),DB_Appareils!A:B,2,FALSE)</f>
        <v>CONCENTRATEUR O2</v>
      </c>
      <c r="K97" s="161">
        <f>VLOOKUP(A97,DB_Locations!A:D,4,FALSE)</f>
        <v>45807</v>
      </c>
      <c r="L97" s="161" cm="1">
        <f t="array" aca="1" ref="L97" ca="1">IF(COUNTIF(DB_Paiements!B:B,A97)=0,"",LOOKUP(2,1/(DB_Paiements!B:B=A97),DB_Paiements!D:D))</f>
        <v>45895</v>
      </c>
      <c r="M97" s="161" cm="1">
        <f t="array" ref="M97">IF(COUNTIF(DB_Paiements!B:B,A97)=0,"",LOOKUP(2,1/(DB_Paiements!B:B=A97),DB_Paiements!E:E))</f>
        <v>45807</v>
      </c>
      <c r="N97" s="162" t="str" cm="1">
        <f t="array" ref="N97">IF(COUNTIF(DB_Paiements!B:B,A97)=0,"",LOOKUP(2,1/(DB_Paiements!B:B=A97),DB_Paiements!G:G))</f>
        <v>CNAM</v>
      </c>
      <c r="O97" s="162" cm="1">
        <f t="array" aca="1" ref="O97" ca="1">IF(COUNTIF(DB_Paiements!B:B,A97)=0,"",LOOKUP(2,1/(DB_Paiements!B:B=A97),DB_Paiements!F:F))</f>
        <v>-570</v>
      </c>
      <c r="P97" s="160"/>
      <c r="Q97" s="162">
        <f ca="1">IF(M97&lt;&gt;"",TODAY()-M97,"")</f>
        <v>88</v>
      </c>
      <c r="R97" s="162" t="str">
        <f>VLOOKUP(VLOOKUP(A97,DB_Locations!A:C,3,FALSE),DB_Appareils!A:F,6,FALSE)</f>
        <v xml:space="preserve">En location </v>
      </c>
      <c r="S97" s="162" t="str">
        <f>VLOOKUP(A97,DB_Locations!A:I,9,FALSE)</f>
        <v>Actif</v>
      </c>
      <c r="T97" s="162"/>
      <c r="U97" s="162"/>
      <c r="V97" s="164" t="str">
        <f ca="1">IF(U97&lt;&gt;"",TODAY()-U97,"")</f>
        <v/>
      </c>
      <c r="W97" s="164" t="s">
        <v>1897</v>
      </c>
    </row>
    <row r="98" spans="1:23" x14ac:dyDescent="0.25">
      <c r="A98" s="162" t="s">
        <v>1471</v>
      </c>
      <c r="B98" s="162" t="str">
        <f>VLOOKUP(VLOOKUP(A98,DB_Locations!A:B,2,FALSE),DB_Patients!A:B,2,FALSE)</f>
        <v>MARNAOUI HABIB</v>
      </c>
      <c r="C98" s="162" t="str">
        <f>VLOOKUP(VLOOKUP(A98,DB_Locations!A:B,2,FALSE),DB_Patients!A:H,8,FALSE)&amp;IF(VLOOKUP(VLOOKUP(A98,DB_Locations!A:B,2,FALSE),DB_Patients!A:I,9,FALSE)&lt;&gt;""," ("&amp;VLOOKUP(VLOOKUP(A98,DB_Locations!A:B,2,FALSE),DB_Patients!A:I,9,FALSE)&amp;")","")</f>
        <v>56129207 (SA FILLE)</v>
      </c>
      <c r="D98" s="162" t="str">
        <f>VLOOKUP(VLOOKUP(A98,DB_Locations!A:B,2,FALSE),DB_Patients!A:J,10,FALSE)&amp;" ("&amp;VLOOKUP(VLOOKUP(A98,DB_Locations!A:B,2,FALSE),DB_Patients!A:K,11,FALSE)&amp;")"</f>
        <v>55 767 643 PERSO (95988399)</v>
      </c>
      <c r="E98" s="162" t="str">
        <f>VLOOKUP(VLOOKUP(A98,DB_Locations!A:B,2,FALSE),DB_Patients!A:F,6,FALSE)</f>
        <v>AKOUDA</v>
      </c>
      <c r="F98" s="162" t="str">
        <f>VLOOKUP(VLOOKUP(A98,DB_Locations!A:B,2,FALSE),DB_Patients!A:M,13,FALSE)</f>
        <v>CNAM</v>
      </c>
      <c r="G98" s="162" t="str">
        <f>VLOOKUP(VLOOKUP(A98,DB_Locations!A:B,2,FALSE),DB_Patients!A:L,12,FALSE)</f>
        <v>AMENI MOKNI</v>
      </c>
      <c r="H98" s="162" t="str">
        <f>VLOOKUP(A98,DB_Locations!A:F,6,FALSE)</f>
        <v>KARIM</v>
      </c>
      <c r="I98" s="162">
        <f>VLOOKUP(A98,DB_Locations!A:G,7,FALSE)</f>
        <v>0</v>
      </c>
      <c r="J98" s="162" t="str">
        <f>VLOOKUP(VLOOKUP(A98,DB_Locations!A:C,3,FALSE),DB_Appareils!A:B,2,FALSE)</f>
        <v>VNI</v>
      </c>
      <c r="K98" s="161">
        <f>VLOOKUP(A98,DB_Locations!A:D,4,FALSE)</f>
        <v>45807</v>
      </c>
      <c r="L98" s="161" cm="1">
        <f t="array" ref="L98">IF(COUNTIF(DB_Paiements!B:B,A98)=0,"",LOOKUP(2,1/(DB_Paiements!B:B=A98),DB_Paiements!D:D))</f>
        <v>45811</v>
      </c>
      <c r="M98" s="161" cm="1">
        <f t="array" ref="M98">IF(COUNTIF(DB_Paiements!B:B,A98)=0,"",LOOKUP(2,1/(DB_Paiements!B:B=A98),DB_Paiements!E:E))</f>
        <v>45993</v>
      </c>
      <c r="N98" s="162" t="str" cm="1">
        <f t="array" ref="N98">IF(COUNTIF(DB_Paiements!B:B,A98)=0,"",LOOKUP(2,1/(DB_Paiements!B:B=A98),DB_Paiements!G:G))</f>
        <v>CNAM</v>
      </c>
      <c r="O98" s="162" cm="1">
        <f t="array" ref="O98">IF(COUNTIF(DB_Paiements!B:B,A98)=0,"",LOOKUP(2,1/(DB_Paiements!B:B=A98),DB_Paiements!F:F))</f>
        <v>2580</v>
      </c>
      <c r="P98" s="160"/>
      <c r="Q98" s="162">
        <f ca="1">IF(M98&lt;&gt;"",TODAY()-M98,"")</f>
        <v>-98</v>
      </c>
      <c r="R98" s="162" t="str">
        <f>VLOOKUP(VLOOKUP(A98,DB_Locations!A:C,3,FALSE),DB_Appareils!A:F,6,FALSE)</f>
        <v xml:space="preserve">En location </v>
      </c>
      <c r="S98" s="162" t="str">
        <f>VLOOKUP(A98,DB_Locations!A:I,9,FALSE)</f>
        <v>Actif</v>
      </c>
      <c r="T98" s="162"/>
      <c r="U98" s="162"/>
      <c r="V98" s="162"/>
      <c r="W98" s="164"/>
    </row>
    <row r="99" spans="1:23" hidden="1" x14ac:dyDescent="0.25">
      <c r="A99" s="162" t="s">
        <v>1472</v>
      </c>
      <c r="B99" s="162" t="str">
        <f>VLOOKUP(VLOOKUP(A99,DB_Locations!A:B,2,FALSE),DB_Patients!A:B,2,FALSE)</f>
        <v>JAZIRI VVE LOUSSAIEF  HABIBA</v>
      </c>
      <c r="C99" s="162" t="str">
        <f>VLOOKUP(VLOOKUP(A99,DB_Locations!A:B,2,FALSE),DB_Patients!A:H,8,FALSE)&amp;IF(VLOOKUP(VLOOKUP(A99,DB_Locations!A:B,2,FALSE),DB_Patients!A:I,9,FALSE)&lt;&gt;""," ("&amp;VLOOKUP(VLOOKUP(A99,DB_Locations!A:B,2,FALSE),DB_Patients!A:I,9,FALSE)&amp;")","")</f>
        <v>97226436 ( FILS)</v>
      </c>
      <c r="D99" s="162" t="str">
        <f>VLOOKUP(VLOOKUP(A99,DB_Locations!A:B,2,FALSE),DB_Patients!A:J,10,FALSE)&amp;" ("&amp;VLOOKUP(VLOOKUP(A99,DB_Locations!A:B,2,FALSE),DB_Patients!A:K,11,FALSE)&amp;")"</f>
        <v>27097391 (SA FILLE JAMILA)</v>
      </c>
      <c r="E99" s="162" t="str">
        <f>VLOOKUP(VLOOKUP(A99,DB_Locations!A:B,2,FALSE),DB_Patients!A:F,6,FALSE)</f>
        <v>MOUREDDINE</v>
      </c>
      <c r="F99" s="162" t="str">
        <f>VLOOKUP(VLOOKUP(A99,DB_Locations!A:B,2,FALSE),DB_Patients!A:M,13,FALSE)</f>
        <v>CNAM</v>
      </c>
      <c r="G99" s="162" t="str">
        <f>VLOOKUP(VLOOKUP(A99,DB_Locations!A:B,2,FALSE),DB_Patients!A:L,12,FALSE)</f>
        <v>SALSABIL BOUAFIA</v>
      </c>
      <c r="H99" s="162" t="str">
        <f>VLOOKUP(A99,DB_Locations!A:F,6,FALSE)</f>
        <v>BILEL BOUHLEL</v>
      </c>
      <c r="I99" s="162">
        <f>VLOOKUP(A99,DB_Locations!A:G,7,FALSE)</f>
        <v>0</v>
      </c>
      <c r="J99" s="162" t="str">
        <f>VLOOKUP(VLOOKUP(A99,DB_Locations!A:C,3,FALSE),DB_Appareils!A:B,2,FALSE)</f>
        <v>CONCENTRATEUR O2</v>
      </c>
      <c r="K99" s="161">
        <f>VLOOKUP(A99,DB_Locations!A:D,4,FALSE)</f>
        <v>45832</v>
      </c>
      <c r="L99" s="161" cm="1">
        <f t="array" aca="1" ref="L99" ca="1">IF(COUNTIF(DB_Paiements!B:B,A99)=0,"",LOOKUP(2,1/(DB_Paiements!B:B=A99),DB_Paiements!D:D))</f>
        <v>45895</v>
      </c>
      <c r="M99" s="161" cm="1">
        <f t="array" ref="M99">IF(COUNTIF(DB_Paiements!B:B,A99)=0,"",LOOKUP(2,1/(DB_Paiements!B:B=A99),DB_Paiements!E:E))</f>
        <v>45832</v>
      </c>
      <c r="N99" s="162" t="str" cm="1">
        <f t="array" ref="N99">IF(COUNTIF(DB_Paiements!B:B,A99)=0,"",LOOKUP(2,1/(DB_Paiements!B:B=A99),DB_Paiements!G:G))</f>
        <v>CNAM</v>
      </c>
      <c r="O99" s="162" cm="1">
        <f t="array" aca="1" ref="O99" ca="1">IF(COUNTIF(DB_Paiements!B:B,A99)=0,"",LOOKUP(2,1/(DB_Paiements!B:B=A99),DB_Paiements!F:F))</f>
        <v>-380</v>
      </c>
      <c r="P99" s="160"/>
      <c r="Q99" s="162">
        <f ca="1">IF(M99&lt;&gt;"",TODAY()-M99,"")</f>
        <v>63</v>
      </c>
      <c r="R99" s="162" t="s">
        <v>2471</v>
      </c>
      <c r="S99" s="162" t="s">
        <v>2469</v>
      </c>
      <c r="T99" s="162"/>
      <c r="U99" s="162"/>
      <c r="V99" s="164" t="str">
        <f ca="1">IF(U99&lt;&gt;"",TODAY()-U99,"")</f>
        <v/>
      </c>
      <c r="W99" s="164" t="s">
        <v>2470</v>
      </c>
    </row>
    <row r="100" spans="1:23" x14ac:dyDescent="0.25">
      <c r="A100" s="162" t="s">
        <v>1473</v>
      </c>
      <c r="B100" s="162" t="str">
        <f>VLOOKUP(VLOOKUP(A100,DB_Locations!A:B,2,FALSE),DB_Patients!A:B,2,FALSE)</f>
        <v>JAZIRI VVE LOUSSAIEF  HABIBA</v>
      </c>
      <c r="C100" s="162" t="str">
        <f>VLOOKUP(VLOOKUP(A100,DB_Locations!A:B,2,FALSE),DB_Patients!A:H,8,FALSE)&amp;IF(VLOOKUP(VLOOKUP(A100,DB_Locations!A:B,2,FALSE),DB_Patients!A:I,9,FALSE)&lt;&gt;""," ("&amp;VLOOKUP(VLOOKUP(A100,DB_Locations!A:B,2,FALSE),DB_Patients!A:I,9,FALSE)&amp;")","")</f>
        <v>97226436 ( FILS)</v>
      </c>
      <c r="D100" s="162" t="str">
        <f>VLOOKUP(VLOOKUP(A100,DB_Locations!A:B,2,FALSE),DB_Patients!A:J,10,FALSE)&amp;" ("&amp;VLOOKUP(VLOOKUP(A100,DB_Locations!A:B,2,FALSE),DB_Patients!A:K,11,FALSE)&amp;")"</f>
        <v>27097391 (SA FILLE JAMILA)</v>
      </c>
      <c r="E100" s="162" t="str">
        <f>VLOOKUP(VLOOKUP(A100,DB_Locations!A:B,2,FALSE),DB_Patients!A:F,6,FALSE)</f>
        <v>MOUREDDINE</v>
      </c>
      <c r="F100" s="162" t="str">
        <f>VLOOKUP(VLOOKUP(A100,DB_Locations!A:B,2,FALSE),DB_Patients!A:M,13,FALSE)</f>
        <v>CNAM</v>
      </c>
      <c r="G100" s="162" t="str">
        <f>VLOOKUP(VLOOKUP(A100,DB_Locations!A:B,2,FALSE),DB_Patients!A:L,12,FALSE)</f>
        <v>SALSABIL BOUAFIA</v>
      </c>
      <c r="H100" s="162" t="str">
        <f>VLOOKUP(A100,DB_Locations!A:F,6,FALSE)</f>
        <v>BILEL BOUHLEL</v>
      </c>
      <c r="I100" s="162">
        <f>VLOOKUP(A100,DB_Locations!A:G,7,FALSE)</f>
        <v>0</v>
      </c>
      <c r="J100" s="162" t="str">
        <f>VLOOKUP(VLOOKUP(A100,DB_Locations!A:C,3,FALSE),DB_Appareils!A:B,2,FALSE)</f>
        <v>VNI</v>
      </c>
      <c r="K100" s="161">
        <f>VLOOKUP(A100,DB_Locations!A:D,4,FALSE)</f>
        <v>45818</v>
      </c>
      <c r="L100" s="161" cm="1">
        <f t="array" ref="L100">IF(COUNTIF(DB_Paiements!B:B,A100)=0,"",LOOKUP(2,1/(DB_Paiements!B:B=A100),DB_Paiements!D:D))</f>
        <v>45825</v>
      </c>
      <c r="M100" s="161" cm="1">
        <f t="array" ref="M100">IF(COUNTIF(DB_Paiements!B:B,A100)=0,"",LOOKUP(2,1/(DB_Paiements!B:B=A100),DB_Paiements!E:E))</f>
        <v>45916</v>
      </c>
      <c r="N100" s="162" t="str" cm="1">
        <f t="array" ref="N100">IF(COUNTIF(DB_Paiements!B:B,A100)=0,"",LOOKUP(2,1/(DB_Paiements!B:B=A100),DB_Paiements!G:G))</f>
        <v>CNAM</v>
      </c>
      <c r="O100" s="162" cm="1">
        <f t="array" ref="O100">IF(COUNTIF(DB_Paiements!B:B,A100)=0,"",LOOKUP(2,1/(DB_Paiements!B:B=A100),DB_Paiements!F:F))</f>
        <v>1290</v>
      </c>
      <c r="P100" s="160"/>
      <c r="Q100" s="162">
        <f ca="1">IF(M100&lt;&gt;"",TODAY()-M100,"")</f>
        <v>-21</v>
      </c>
      <c r="R100" s="162" t="str">
        <f>VLOOKUP(VLOOKUP(A100,DB_Locations!A:C,3,FALSE),DB_Appareils!A:F,6,FALSE)</f>
        <v>En location</v>
      </c>
      <c r="S100" s="162" t="str">
        <f>VLOOKUP(A100,DB_Locations!A:I,9,FALSE)</f>
        <v>Actif</v>
      </c>
      <c r="T100" s="162" t="s">
        <v>2467</v>
      </c>
      <c r="U100" s="162"/>
      <c r="V100" s="162"/>
      <c r="W100" s="164" t="s">
        <v>2468</v>
      </c>
    </row>
    <row r="101" spans="1:23" x14ac:dyDescent="0.25">
      <c r="A101" s="162" t="s">
        <v>1474</v>
      </c>
      <c r="B101" s="162" t="str">
        <f>VLOOKUP(VLOOKUP(A101,DB_Locations!A:B,2,FALSE),DB_Patients!A:B,2,FALSE)</f>
        <v xml:space="preserve">TOUMI FRADJ </v>
      </c>
      <c r="C101" s="162" t="str">
        <f>VLOOKUP(VLOOKUP(A101,DB_Locations!A:B,2,FALSE),DB_Patients!A:H,8,FALSE)&amp;IF(VLOOKUP(VLOOKUP(A101,DB_Locations!A:B,2,FALSE),DB_Patients!A:I,9,FALSE)&lt;&gt;""," ("&amp;VLOOKUP(VLOOKUP(A101,DB_Locations!A:B,2,FALSE),DB_Patients!A:I,9,FALSE)&amp;")","")</f>
        <v>98983636</v>
      </c>
      <c r="D101" s="162" t="str">
        <f>VLOOKUP(VLOOKUP(A101,DB_Locations!A:B,2,FALSE),DB_Patients!A:J,10,FALSE)&amp;" ("&amp;VLOOKUP(VLOOKUP(A101,DB_Locations!A:B,2,FALSE),DB_Patients!A:K,11,FALSE)&amp;")"</f>
        <v>52944180 ()</v>
      </c>
      <c r="E101" s="162" t="str">
        <f>VLOOKUP(VLOOKUP(A101,DB_Locations!A:B,2,FALSE),DB_Patients!A:F,6,FALSE)</f>
        <v>SIDI BOU ALI</v>
      </c>
      <c r="F101" s="162" t="str">
        <f>VLOOKUP(VLOOKUP(A101,DB_Locations!A:B,2,FALSE),DB_Patients!A:M,13,FALSE)</f>
        <v>CNAM</v>
      </c>
      <c r="G101" s="162" t="str">
        <f>VLOOKUP(VLOOKUP(A101,DB_Locations!A:B,2,FALSE),DB_Patients!A:L,12,FALSE)</f>
        <v>ASMA KNAZ</v>
      </c>
      <c r="H101" s="162" t="str">
        <f>VLOOKUP(A101,DB_Locations!A:F,6,FALSE)</f>
        <v>BILEL BOUHLEL</v>
      </c>
      <c r="I101" s="162">
        <f>VLOOKUP(A101,DB_Locations!A:G,7,FALSE)</f>
        <v>0</v>
      </c>
      <c r="J101" s="162" t="str">
        <f>VLOOKUP(VLOOKUP(A101,DB_Locations!A:C,3,FALSE),DB_Appareils!A:B,2,FALSE)</f>
        <v>CONCENTRATEUR O2</v>
      </c>
      <c r="K101" s="161">
        <f>VLOOKUP(A101,DB_Locations!A:D,4,FALSE)</f>
        <v>45843</v>
      </c>
      <c r="L101" s="161" cm="1">
        <f t="array" aca="1" ref="L101" ca="1">IF(COUNTIF(DB_Paiements!B:B,A101)=0,"",LOOKUP(2,1/(DB_Paiements!B:B=A101),DB_Paiements!D:D))</f>
        <v>45895</v>
      </c>
      <c r="M101" s="161" cm="1">
        <f t="array" ref="M101">IF(COUNTIF(DB_Paiements!B:B,A101)=0,"",LOOKUP(2,1/(DB_Paiements!B:B=A101),DB_Paiements!E:E))</f>
        <v>45843</v>
      </c>
      <c r="N101" s="162" t="str" cm="1">
        <f t="array" ref="N101">IF(COUNTIF(DB_Paiements!B:B,A101)=0,"",LOOKUP(2,1/(DB_Paiements!B:B=A101),DB_Paiements!G:G))</f>
        <v>CNAM</v>
      </c>
      <c r="O101" s="162" cm="1">
        <f t="array" aca="1" ref="O101" ca="1">IF(COUNTIF(DB_Paiements!B:B,A101)=0,"",LOOKUP(2,1/(DB_Paiements!B:B=A101),DB_Paiements!F:F))</f>
        <v>-380</v>
      </c>
      <c r="P101" s="160"/>
      <c r="Q101" s="162">
        <f ca="1">IF(M101&lt;&gt;"",TODAY()-M101,"")</f>
        <v>52</v>
      </c>
      <c r="R101" s="162" t="str">
        <f>VLOOKUP(VLOOKUP(A101,DB_Locations!A:C,3,FALSE),DB_Appareils!A:F,6,FALSE)</f>
        <v>En location</v>
      </c>
      <c r="S101" s="162" t="str">
        <f>VLOOKUP(A101,DB_Locations!A:I,9,FALSE)</f>
        <v>Actif</v>
      </c>
      <c r="T101" s="162"/>
      <c r="U101" s="162"/>
      <c r="V101" s="164" t="str">
        <f ca="1">IF(U101&lt;&gt;"",TODAY()-U101,"")</f>
        <v/>
      </c>
      <c r="W101" s="164"/>
    </row>
    <row r="102" spans="1:23" x14ac:dyDescent="0.25">
      <c r="A102" s="162" t="s">
        <v>1475</v>
      </c>
      <c r="B102" s="162" t="str">
        <f>VLOOKUP(VLOOKUP(A102,DB_Locations!A:B,2,FALSE),DB_Patients!A:B,2,FALSE)</f>
        <v>BEN HAMIDA MOSBAH</v>
      </c>
      <c r="C102" s="162" t="str">
        <f>VLOOKUP(VLOOKUP(A102,DB_Locations!A:B,2,FALSE),DB_Patients!A:H,8,FALSE)&amp;IF(VLOOKUP(VLOOKUP(A102,DB_Locations!A:B,2,FALSE),DB_Patients!A:I,9,FALSE)&lt;&gt;""," ("&amp;VLOOKUP(VLOOKUP(A102,DB_Locations!A:B,2,FALSE),DB_Patients!A:I,9,FALSE)&amp;")","")</f>
        <v>26752977 (PRSONNEL)</v>
      </c>
      <c r="D102" s="162" t="str">
        <f>VLOOKUP(VLOOKUP(A102,DB_Locations!A:B,2,FALSE),DB_Patients!A:J,10,FALSE)&amp;" ("&amp;VLOOKUP(VLOOKUP(A102,DB_Locations!A:B,2,FALSE),DB_Patients!A:K,11,FALSE)&amp;")"</f>
        <v xml:space="preserve"> ()</v>
      </c>
      <c r="E102" s="162" t="str">
        <f>VLOOKUP(VLOOKUP(A102,DB_Locations!A:B,2,FALSE),DB_Patients!A:F,6,FALSE)</f>
        <v>MANZEL BOURGUIBA</v>
      </c>
      <c r="F102" s="162" t="str">
        <f>VLOOKUP(VLOOKUP(A102,DB_Locations!A:B,2,FALSE),DB_Patients!A:M,13,FALSE)</f>
        <v xml:space="preserve">CNAM </v>
      </c>
      <c r="G102" s="162" t="str">
        <f>VLOOKUP(VLOOKUP(A102,DB_Locations!A:B,2,FALSE),DB_Patients!A:L,12,FALSE)</f>
        <v>MANEL MEDI</v>
      </c>
      <c r="H102" s="162" t="str">
        <f>VLOOKUP(A102,DB_Locations!A:F,6,FALSE)</f>
        <v>SOUHAIEB BEN SAHRA</v>
      </c>
      <c r="I102" s="162">
        <f>VLOOKUP(A102,DB_Locations!A:G,7,FALSE)</f>
        <v>0</v>
      </c>
      <c r="J102" s="162" t="str">
        <f>VLOOKUP(VLOOKUP(A102,DB_Locations!A:C,3,FALSE),DB_Appareils!A:B,2,FALSE)</f>
        <v>CONCENTRATEUR O2</v>
      </c>
      <c r="K102" s="161">
        <f>VLOOKUP(A102,DB_Locations!A:D,4,FALSE)</f>
        <v>45878</v>
      </c>
      <c r="L102" s="161" cm="1">
        <f t="array" aca="1" ref="L102" ca="1">IF(COUNTIF(DB_Paiements!B:B,A102)=0,"",LOOKUP(2,1/(DB_Paiements!B:B=A102),DB_Paiements!D:D))</f>
        <v>45895</v>
      </c>
      <c r="M102" s="161" cm="1">
        <f t="array" ref="M102">IF(COUNTIF(DB_Paiements!B:B,A102)=0,"",LOOKUP(2,1/(DB_Paiements!B:B=A102),DB_Paiements!E:E))</f>
        <v>45878</v>
      </c>
      <c r="N102" s="162" t="str" cm="1">
        <f t="array" ref="N102">IF(COUNTIF(DB_Paiements!B:B,A102)=0,"",LOOKUP(2,1/(DB_Paiements!B:B=A102),DB_Paiements!G:G))</f>
        <v>CNAM</v>
      </c>
      <c r="O102" s="162" cm="1">
        <f t="array" aca="1" ref="O102" ca="1">IF(COUNTIF(DB_Paiements!B:B,A102)=0,"",LOOKUP(2,1/(DB_Paiements!B:B=A102),DB_Paiements!F:F))</f>
        <v>-190</v>
      </c>
      <c r="P102" s="160"/>
      <c r="Q102" s="162">
        <f ca="1">IF(M102&lt;&gt;"",TODAY()-M102,"")</f>
        <v>17</v>
      </c>
      <c r="R102" s="162" t="str">
        <f>VLOOKUP(VLOOKUP(A102,DB_Locations!A:C,3,FALSE),DB_Appareils!A:F,6,FALSE)</f>
        <v>En location</v>
      </c>
      <c r="S102" s="162" t="str">
        <f>VLOOKUP(A102,DB_Locations!A:I,9,FALSE)</f>
        <v>Actif</v>
      </c>
      <c r="T102" s="162"/>
      <c r="U102" s="162"/>
      <c r="V102" s="164" t="str">
        <f ca="1">IF(U102&lt;&gt;"",TODAY()-U102,"")</f>
        <v/>
      </c>
      <c r="W102" s="164" t="s">
        <v>1918</v>
      </c>
    </row>
    <row r="103" spans="1:23" x14ac:dyDescent="0.25">
      <c r="A103" s="162" t="s">
        <v>1476</v>
      </c>
      <c r="B103" s="162" t="str">
        <f>VLOOKUP(VLOOKUP(A103,DB_Locations!A:B,2,FALSE),DB_Patients!A:B,2,FALSE)</f>
        <v>BEN HAMIDA MOSBAH</v>
      </c>
      <c r="C103" s="162" t="str">
        <f>VLOOKUP(VLOOKUP(A103,DB_Locations!A:B,2,FALSE),DB_Patients!A:H,8,FALSE)&amp;IF(VLOOKUP(VLOOKUP(A103,DB_Locations!A:B,2,FALSE),DB_Patients!A:I,9,FALSE)&lt;&gt;""," ("&amp;VLOOKUP(VLOOKUP(A103,DB_Locations!A:B,2,FALSE),DB_Patients!A:I,9,FALSE)&amp;")","")</f>
        <v>26752977 (PRSONNEL)</v>
      </c>
      <c r="D103" s="162" t="str">
        <f>VLOOKUP(VLOOKUP(A103,DB_Locations!A:B,2,FALSE),DB_Patients!A:J,10,FALSE)&amp;" ("&amp;VLOOKUP(VLOOKUP(A103,DB_Locations!A:B,2,FALSE),DB_Patients!A:K,11,FALSE)&amp;")"</f>
        <v xml:space="preserve"> ()</v>
      </c>
      <c r="E103" s="162" t="str">
        <f>VLOOKUP(VLOOKUP(A103,DB_Locations!A:B,2,FALSE),DB_Patients!A:F,6,FALSE)</f>
        <v>MANZEL BOURGUIBA</v>
      </c>
      <c r="F103" s="162" t="str">
        <f>VLOOKUP(VLOOKUP(A103,DB_Locations!A:B,2,FALSE),DB_Patients!A:M,13,FALSE)</f>
        <v xml:space="preserve">CNAM </v>
      </c>
      <c r="G103" s="162" t="str">
        <f>VLOOKUP(VLOOKUP(A103,DB_Locations!A:B,2,FALSE),DB_Patients!A:L,12,FALSE)</f>
        <v>MANEL MEDI</v>
      </c>
      <c r="H103" s="162" t="str">
        <f>VLOOKUP(A103,DB_Locations!A:F,6,FALSE)</f>
        <v>SOUHAIEB BEN SAHRA</v>
      </c>
      <c r="I103" s="162">
        <f>VLOOKUP(A103,DB_Locations!A:G,7,FALSE)</f>
        <v>0</v>
      </c>
      <c r="J103" s="162" t="str">
        <f>VLOOKUP(VLOOKUP(A103,DB_Locations!A:C,3,FALSE),DB_Appareils!A:B,2,FALSE)</f>
        <v>VNI</v>
      </c>
      <c r="K103" s="161">
        <f>VLOOKUP(A103,DB_Locations!A:D,4,FALSE)</f>
        <v>45866</v>
      </c>
      <c r="L103" s="161" cm="1">
        <f t="array" aca="1" ref="L103" ca="1">IF(COUNTIF(DB_Paiements!B:B,A103)=0,"",LOOKUP(2,1/(DB_Paiements!B:B=A103),DB_Paiements!D:D))</f>
        <v>45895</v>
      </c>
      <c r="M103" s="161" cm="1">
        <f t="array" ref="M103">IF(COUNTIF(DB_Paiements!B:B,A103)=0,"",LOOKUP(2,1/(DB_Paiements!B:B=A103),DB_Paiements!E:E))</f>
        <v>45866</v>
      </c>
      <c r="N103" s="162" t="str" cm="1">
        <f t="array" ref="N103">IF(COUNTIF(DB_Paiements!B:B,A103)=0,"",LOOKUP(2,1/(DB_Paiements!B:B=A103),DB_Paiements!G:G))</f>
        <v>CNAM</v>
      </c>
      <c r="O103" s="162" cm="1">
        <f t="array" aca="1" ref="O103" ca="1">IF(COUNTIF(DB_Paiements!B:B,A103)=0,"",LOOKUP(2,1/(DB_Paiements!B:B=A103),DB_Paiements!F:F))</f>
        <v>-430</v>
      </c>
      <c r="P103" s="160">
        <v>45878</v>
      </c>
      <c r="Q103" s="162">
        <f ca="1">IF(M103&lt;&gt;"",TODAY()-M103,"")</f>
        <v>29</v>
      </c>
      <c r="R103" s="162" t="str">
        <f>VLOOKUP(VLOOKUP(A103,DB_Locations!A:C,3,FALSE),DB_Appareils!A:F,6,FALSE)</f>
        <v>En location</v>
      </c>
      <c r="S103" s="162" t="str">
        <f>VLOOKUP(A103,DB_Locations!A:I,9,FALSE)</f>
        <v>Actif</v>
      </c>
      <c r="T103" s="162"/>
      <c r="U103" s="162"/>
      <c r="V103" s="164" t="str">
        <f ca="1">IF(U103&lt;&gt;"",TODAY()-U103,"")</f>
        <v/>
      </c>
      <c r="W103" s="164" t="s">
        <v>1154</v>
      </c>
    </row>
    <row r="104" spans="1:23" x14ac:dyDescent="0.25">
      <c r="A104" s="162" t="s">
        <v>1477</v>
      </c>
      <c r="B104" s="162" t="str">
        <f>VLOOKUP(VLOOKUP(A104,DB_Locations!A:B,2,FALSE),DB_Patients!A:B,2,FALSE)</f>
        <v>BEL HADJ SAID LEILA</v>
      </c>
      <c r="C104" s="162" t="str">
        <f>VLOOKUP(VLOOKUP(A104,DB_Locations!A:B,2,FALSE),DB_Patients!A:H,8,FALSE)&amp;IF(VLOOKUP(VLOOKUP(A104,DB_Locations!A:B,2,FALSE),DB_Patients!A:I,9,FALSE)&lt;&gt;""," ("&amp;VLOOKUP(VLOOKUP(A104,DB_Locations!A:B,2,FALSE),DB_Patients!A:I,9,FALSE)&amp;")","")</f>
        <v>56249871</v>
      </c>
      <c r="D104" s="162" t="str">
        <f>VLOOKUP(VLOOKUP(A104,DB_Locations!A:B,2,FALSE),DB_Patients!A:J,10,FALSE)&amp;" ("&amp;VLOOKUP(VLOOKUP(A104,DB_Locations!A:B,2,FALSE),DB_Patients!A:K,11,FALSE)&amp;")"</f>
        <v>50252097 ()</v>
      </c>
      <c r="E104" s="162" t="str">
        <f>VLOOKUP(VLOOKUP(A104,DB_Locations!A:B,2,FALSE),DB_Patients!A:F,6,FALSE)</f>
        <v>SOUSSE</v>
      </c>
      <c r="F104" s="162" t="str">
        <f>VLOOKUP(VLOOKUP(A104,DB_Locations!A:B,2,FALSE),DB_Patients!A:M,13,FALSE)</f>
        <v>CNAM</v>
      </c>
      <c r="G104" s="162" t="str">
        <f>VLOOKUP(VLOOKUP(A104,DB_Locations!A:B,2,FALSE),DB_Patients!A:L,12,FALSE)</f>
        <v>BARAA BEN BDIRA</v>
      </c>
      <c r="H104" s="162" t="str">
        <f>VLOOKUP(A104,DB_Locations!A:F,6,FALSE)</f>
        <v>KARIM</v>
      </c>
      <c r="I104" s="162">
        <f>VLOOKUP(A104,DB_Locations!A:G,7,FALSE)</f>
        <v>0</v>
      </c>
      <c r="J104" s="162" t="str">
        <f>VLOOKUP(VLOOKUP(A104,DB_Locations!A:C,3,FALSE),DB_Appareils!A:B,2,FALSE)</f>
        <v>CONCENTRATEUR O2</v>
      </c>
      <c r="K104" s="161">
        <f>VLOOKUP(A104,DB_Locations!A:D,4,FALSE)</f>
        <v>45867</v>
      </c>
      <c r="L104" s="161" cm="1">
        <f t="array" ref="L104">IF(COUNTIF(DB_Paiements!B:B,A104)=0,"",LOOKUP(2,1/(DB_Paiements!B:B=A104),DB_Paiements!D:D))</f>
        <v>45867</v>
      </c>
      <c r="M104" s="161" cm="1">
        <f t="array" ref="M104">IF(COUNTIF(DB_Paiements!B:B,A104)=0,"",LOOKUP(2,1/(DB_Paiements!B:B=A104),DB_Paiements!E:E))</f>
        <v>45897</v>
      </c>
      <c r="N104" s="162" t="str" cm="1">
        <f t="array" ref="N104">IF(COUNTIF(DB_Paiements!B:B,A104)=0,"",LOOKUP(2,1/(DB_Paiements!B:B=A104),DB_Paiements!G:G))</f>
        <v>ESPECE</v>
      </c>
      <c r="O104" s="162" cm="1">
        <f t="array" ref="O104">IF(COUNTIF(DB_Paiements!B:B,A104)=0,"",LOOKUP(2,1/(DB_Paiements!B:B=A104),DB_Paiements!F:F))</f>
        <v>250</v>
      </c>
      <c r="P104" s="160">
        <v>45901</v>
      </c>
      <c r="Q104" s="162">
        <f ca="1">IF(M104&lt;&gt;"",TODAY()-M104,"")</f>
        <v>-2</v>
      </c>
      <c r="R104" s="162" t="str">
        <f>VLOOKUP(VLOOKUP(A104,DB_Locations!A:C,3,FALSE),DB_Appareils!A:F,6,FALSE)</f>
        <v>En location</v>
      </c>
      <c r="S104" s="162" t="str">
        <f>VLOOKUP(A104,DB_Locations!A:I,9,FALSE)</f>
        <v>Actif</v>
      </c>
      <c r="T104" s="162"/>
      <c r="U104" s="162"/>
      <c r="V104" s="164" t="str">
        <f ca="1">IF(U104&lt;&gt;"",TODAY()-U104,"")</f>
        <v/>
      </c>
      <c r="W104" s="164" t="s">
        <v>2504</v>
      </c>
    </row>
    <row r="105" spans="1:23" x14ac:dyDescent="0.25">
      <c r="A105" s="162" t="s">
        <v>1478</v>
      </c>
      <c r="B105" s="162" t="str">
        <f>VLOOKUP(VLOOKUP(A105,DB_Locations!A:B,2,FALSE),DB_Patients!A:B,2,FALSE)</f>
        <v>ZRELLI FATOUM</v>
      </c>
      <c r="C105" s="162" t="str">
        <f>VLOOKUP(VLOOKUP(A105,DB_Locations!A:B,2,FALSE),DB_Patients!A:H,8,FALSE)&amp;IF(VLOOKUP(VLOOKUP(A105,DB_Locations!A:B,2,FALSE),DB_Patients!A:I,9,FALSE)&lt;&gt;""," ("&amp;VLOOKUP(VLOOKUP(A105,DB_Locations!A:B,2,FALSE),DB_Patients!A:I,9,FALSE)&amp;")","")</f>
        <v>54169327 (55739701)</v>
      </c>
      <c r="D105" s="162" t="str">
        <f>VLOOKUP(VLOOKUP(A105,DB_Locations!A:B,2,FALSE),DB_Patients!A:J,10,FALSE)&amp;" ("&amp;VLOOKUP(VLOOKUP(A105,DB_Locations!A:B,2,FALSE),DB_Patients!A:K,11,FALSE)&amp;")"</f>
        <v>52054081 ()</v>
      </c>
      <c r="E105" s="162" t="str">
        <f>VLOOKUP(VLOOKUP(A105,DB_Locations!A:B,2,FALSE),DB_Patients!A:F,6,FALSE)</f>
        <v>KALAA KBIRA</v>
      </c>
      <c r="F105" s="162" t="str">
        <f>VLOOKUP(VLOOKUP(A105,DB_Locations!A:B,2,FALSE),DB_Patients!A:M,13,FALSE)</f>
        <v>CNAM</v>
      </c>
      <c r="G105" s="162" t="str">
        <f>VLOOKUP(VLOOKUP(A105,DB_Locations!A:B,2,FALSE),DB_Patients!A:L,12,FALSE)</f>
        <v>ABDELHAMID GARROUCH</v>
      </c>
      <c r="H105" s="162" t="str">
        <f>VLOOKUP(A105,DB_Locations!A:F,6,FALSE)</f>
        <v>KARIM</v>
      </c>
      <c r="I105" s="162">
        <f>VLOOKUP(A105,DB_Locations!A:G,7,FALSE)</f>
        <v>0</v>
      </c>
      <c r="J105" s="162" t="str">
        <f>VLOOKUP(VLOOKUP(A105,DB_Locations!A:C,3,FALSE),DB_Appareils!A:B,2,FALSE)</f>
        <v>VNI</v>
      </c>
      <c r="K105" s="161">
        <f>VLOOKUP(A105,DB_Locations!A:D,4,FALSE)</f>
        <v>43397</v>
      </c>
      <c r="L105" s="161" cm="1">
        <f t="array" ref="L105">IF(COUNTIF(DB_Paiements!B:B,A105)=0,"",LOOKUP(2,1/(DB_Paiements!B:B=A105),DB_Paiements!D:D))</f>
        <v>45692</v>
      </c>
      <c r="M105" s="161" cm="1">
        <f t="array" ref="M105">IF(COUNTIF(DB_Paiements!B:B,A105)=0,"",LOOKUP(2,1/(DB_Paiements!B:B=A105),DB_Paiements!E:E))</f>
        <v>45872</v>
      </c>
      <c r="N105" s="162" t="str" cm="1">
        <f t="array" ref="N105">IF(COUNTIF(DB_Paiements!B:B,A105)=0,"",LOOKUP(2,1/(DB_Paiements!B:B=A105),DB_Paiements!G:G))</f>
        <v>CNAM</v>
      </c>
      <c r="O105" s="162" cm="1">
        <f t="array" ref="O105">IF(COUNTIF(DB_Paiements!B:B,A105)=0,"",LOOKUP(2,1/(DB_Paiements!B:B=A105),DB_Paiements!F:F))</f>
        <v>2580</v>
      </c>
      <c r="P105" s="160"/>
      <c r="Q105" s="162">
        <f ca="1">IF(M105&lt;&gt;"",TODAY()-M105,"")</f>
        <v>23</v>
      </c>
      <c r="R105" s="162" t="str">
        <f>VLOOKUP(VLOOKUP(A105,DB_Locations!A:C,3,FALSE),DB_Appareils!A:F,6,FALSE)</f>
        <v>En location</v>
      </c>
      <c r="S105" s="162" t="str">
        <f>VLOOKUP(A105,DB_Locations!A:I,9,FALSE)</f>
        <v>Actif</v>
      </c>
      <c r="T105" s="162"/>
      <c r="U105" s="162"/>
      <c r="V105" s="164" t="str">
        <f ca="1">IF(U105&lt;&gt;"",TODAY()-U105,"")</f>
        <v/>
      </c>
      <c r="W105" s="164"/>
    </row>
    <row r="106" spans="1:23" x14ac:dyDescent="0.25">
      <c r="A106" s="162" t="s">
        <v>1479</v>
      </c>
      <c r="B106" s="162" t="str">
        <f>VLOOKUP(VLOOKUP(A106,DB_Locations!A:B,2,FALSE),DB_Patients!A:B,2,FALSE)</f>
        <v>NAILI SELEM</v>
      </c>
      <c r="C106" s="162" t="str">
        <f>VLOOKUP(VLOOKUP(A106,DB_Locations!A:B,2,FALSE),DB_Patients!A:H,8,FALSE)&amp;IF(VLOOKUP(VLOOKUP(A106,DB_Locations!A:B,2,FALSE),DB_Patients!A:I,9,FALSE)&lt;&gt;""," ("&amp;VLOOKUP(VLOOKUP(A106,DB_Locations!A:B,2,FALSE),DB_Patients!A:I,9,FALSE)&amp;")","")</f>
        <v>20724950</v>
      </c>
      <c r="D106" s="162" t="str">
        <f>VLOOKUP(VLOOKUP(A106,DB_Locations!A:B,2,FALSE),DB_Patients!A:J,10,FALSE)&amp;" ("&amp;VLOOKUP(VLOOKUP(A106,DB_Locations!A:B,2,FALSE),DB_Patients!A:K,11,FALSE)&amp;")"</f>
        <v xml:space="preserve"> ()</v>
      </c>
      <c r="E106" s="162" t="str">
        <f>VLOOKUP(VLOOKUP(A106,DB_Locations!A:B,2,FALSE),DB_Patients!A:F,6,FALSE)</f>
        <v>CHEBBA</v>
      </c>
      <c r="F106" s="162" t="str">
        <f>VLOOKUP(VLOOKUP(A106,DB_Locations!A:B,2,FALSE),DB_Patients!A:M,13,FALSE)</f>
        <v>CNAM</v>
      </c>
      <c r="G106" s="162" t="str">
        <f>VLOOKUP(VLOOKUP(A106,DB_Locations!A:B,2,FALSE),DB_Patients!A:L,12,FALSE)</f>
        <v>WAHID BRAHEM</v>
      </c>
      <c r="H106" s="162" t="str">
        <f>VLOOKUP(A106,DB_Locations!A:F,6,FALSE)</f>
        <v>KARIM</v>
      </c>
      <c r="I106" s="162">
        <f>VLOOKUP(A106,DB_Locations!A:G,7,FALSE)</f>
        <v>0</v>
      </c>
      <c r="J106" s="162" t="str">
        <f>VLOOKUP(VLOOKUP(A106,DB_Locations!A:C,3,FALSE),DB_Appareils!A:B,2,FALSE)</f>
        <v>VNI</v>
      </c>
      <c r="K106" s="161">
        <f>VLOOKUP(A106,DB_Locations!A:D,4,FALSE)</f>
        <v>43416</v>
      </c>
      <c r="L106" s="161" cm="1">
        <f t="array" ref="L106">IF(COUNTIF(DB_Paiements!B:B,A106)=0,"",LOOKUP(2,1/(DB_Paiements!B:B=A106),DB_Paiements!D:D))</f>
        <v>45743</v>
      </c>
      <c r="M106" s="161" cm="1">
        <f t="array" ref="M106">IF(COUNTIF(DB_Paiements!B:B,A106)=0,"",LOOKUP(2,1/(DB_Paiements!B:B=A106),DB_Paiements!E:E))</f>
        <v>45926</v>
      </c>
      <c r="N106" s="162" t="str" cm="1">
        <f t="array" ref="N106">IF(COUNTIF(DB_Paiements!B:B,A106)=0,"",LOOKUP(2,1/(DB_Paiements!B:B=A106),DB_Paiements!G:G))</f>
        <v>CNAM</v>
      </c>
      <c r="O106" s="162" cm="1">
        <f t="array" ref="O106">IF(COUNTIF(DB_Paiements!B:B,A106)=0,"",LOOKUP(2,1/(DB_Paiements!B:B=A106),DB_Paiements!F:F))</f>
        <v>2580</v>
      </c>
      <c r="P106" s="160"/>
      <c r="Q106" s="162">
        <f ca="1">IF(M106&lt;&gt;"",TODAY()-M106,"")</f>
        <v>-31</v>
      </c>
      <c r="R106" s="162" t="str">
        <f>VLOOKUP(VLOOKUP(A106,DB_Locations!A:C,3,FALSE),DB_Appareils!A:F,6,FALSE)</f>
        <v>En location</v>
      </c>
      <c r="S106" s="162" t="str">
        <f>VLOOKUP(A106,DB_Locations!A:I,9,FALSE)</f>
        <v>Actif</v>
      </c>
      <c r="T106" s="162"/>
      <c r="U106" s="162"/>
      <c r="V106" s="162"/>
      <c r="W106" s="164" t="s">
        <v>1126</v>
      </c>
    </row>
    <row r="107" spans="1:23" x14ac:dyDescent="0.25">
      <c r="A107" s="162" t="s">
        <v>1480</v>
      </c>
      <c r="B107" s="162" t="str">
        <f>VLOOKUP(VLOOKUP(A107,DB_Locations!A:B,2,FALSE),DB_Patients!A:B,2,FALSE)</f>
        <v>ABDELOUAHED ABDERRAZEK</v>
      </c>
      <c r="C107" s="162" t="str">
        <f>VLOOKUP(VLOOKUP(A107,DB_Locations!A:B,2,FALSE),DB_Patients!A:H,8,FALSE)&amp;IF(VLOOKUP(VLOOKUP(A107,DB_Locations!A:B,2,FALSE),DB_Patients!A:I,9,FALSE)&lt;&gt;""," ("&amp;VLOOKUP(VLOOKUP(A107,DB_Locations!A:B,2,FALSE),DB_Patients!A:I,9,FALSE)&amp;")","")</f>
        <v>97246256</v>
      </c>
      <c r="D107" s="162" t="str">
        <f>VLOOKUP(VLOOKUP(A107,DB_Locations!A:B,2,FALSE),DB_Patients!A:J,10,FALSE)&amp;" ("&amp;VLOOKUP(VLOOKUP(A107,DB_Locations!A:B,2,FALSE),DB_Patients!A:K,11,FALSE)&amp;")"</f>
        <v xml:space="preserve"> ()</v>
      </c>
      <c r="E107" s="162" t="str">
        <f>VLOOKUP(VLOOKUP(A107,DB_Locations!A:B,2,FALSE),DB_Patients!A:F,6,FALSE)</f>
        <v>MAHDIA</v>
      </c>
      <c r="F107" s="162" t="str">
        <f>VLOOKUP(VLOOKUP(A107,DB_Locations!A:B,2,FALSE),DB_Patients!A:M,13,FALSE)</f>
        <v>CNAM</v>
      </c>
      <c r="G107" s="162" t="str">
        <f>VLOOKUP(VLOOKUP(A107,DB_Locations!A:B,2,FALSE),DB_Patients!A:L,12,FALSE)</f>
        <v>WAHID BRAHEM</v>
      </c>
      <c r="H107" s="162" t="str">
        <f>VLOOKUP(A107,DB_Locations!A:F,6,FALSE)</f>
        <v>KARIM</v>
      </c>
      <c r="I107" s="162">
        <f>VLOOKUP(A107,DB_Locations!A:G,7,FALSE)</f>
        <v>0</v>
      </c>
      <c r="J107" s="162" t="str">
        <f>VLOOKUP(VLOOKUP(A107,DB_Locations!A:C,3,FALSE),DB_Appareils!A:B,2,FALSE)</f>
        <v>VNI</v>
      </c>
      <c r="K107" s="161">
        <f>VLOOKUP(A107,DB_Locations!A:D,4,FALSE)</f>
        <v>43487</v>
      </c>
      <c r="L107" s="161" cm="1">
        <f t="array" ref="L107">IF(COUNTIF(DB_Paiements!B:B,A107)=0,"",LOOKUP(2,1/(DB_Paiements!B:B=A107),DB_Paiements!D:D))</f>
        <v>45827</v>
      </c>
      <c r="M107" s="161" cm="1">
        <f t="array" ref="M107">IF(COUNTIF(DB_Paiements!B:B,A107)=0,"",LOOKUP(2,1/(DB_Paiements!B:B=A107),DB_Paiements!E:E))</f>
        <v>46009</v>
      </c>
      <c r="N107" s="162" t="str" cm="1">
        <f t="array" ref="N107">IF(COUNTIF(DB_Paiements!B:B,A107)=0,"",LOOKUP(2,1/(DB_Paiements!B:B=A107),DB_Paiements!G:G))</f>
        <v>CNAM</v>
      </c>
      <c r="O107" s="162" cm="1">
        <f t="array" ref="O107">IF(COUNTIF(DB_Paiements!B:B,A107)=0,"",LOOKUP(2,1/(DB_Paiements!B:B=A107),DB_Paiements!F:F))</f>
        <v>2580</v>
      </c>
      <c r="P107" s="160"/>
      <c r="Q107" s="162">
        <f ca="1">IF(M107&lt;&gt;"",TODAY()-M107,"")</f>
        <v>-114</v>
      </c>
      <c r="R107" s="162" t="str">
        <f>VLOOKUP(VLOOKUP(A107,DB_Locations!A:C,3,FALSE),DB_Appareils!A:F,6,FALSE)</f>
        <v>En location</v>
      </c>
      <c r="S107" s="162" t="str">
        <f>VLOOKUP(A107,DB_Locations!A:I,9,FALSE)</f>
        <v>ACTIF</v>
      </c>
      <c r="T107" s="162"/>
      <c r="U107" s="162"/>
      <c r="V107" s="162"/>
      <c r="W107" s="164" t="s">
        <v>1126</v>
      </c>
    </row>
    <row r="108" spans="1:23" x14ac:dyDescent="0.25">
      <c r="A108" s="162" t="s">
        <v>1405</v>
      </c>
      <c r="B108" s="162" t="str">
        <f>VLOOKUP(VLOOKUP(A108,DB_Locations!A:B,2,FALSE),DB_Patients!A:B,2,FALSE)</f>
        <v>CHAIEB SALEH</v>
      </c>
      <c r="C108" s="162" t="str">
        <f>VLOOKUP(VLOOKUP(A108,DB_Locations!A:B,2,FALSE),DB_Patients!A:H,8,FALSE)&amp;IF(VLOOKUP(VLOOKUP(A108,DB_Locations!A:B,2,FALSE),DB_Patients!A:I,9,FALSE)&lt;&gt;""," ("&amp;VLOOKUP(VLOOKUP(A108,DB_Locations!A:B,2,FALSE),DB_Patients!A:I,9,FALSE)&amp;")","")</f>
        <v>99570748</v>
      </c>
      <c r="D108" s="162" t="str">
        <f>VLOOKUP(VLOOKUP(A108,DB_Locations!A:B,2,FALSE),DB_Patients!A:J,10,FALSE)&amp;" ("&amp;VLOOKUP(VLOOKUP(A108,DB_Locations!A:B,2,FALSE),DB_Patients!A:K,11,FALSE)&amp;")"</f>
        <v xml:space="preserve"> ()</v>
      </c>
      <c r="E108" s="162" t="str">
        <f>VLOOKUP(VLOOKUP(A108,DB_Locations!A:B,2,FALSE),DB_Patients!A:F,6,FALSE)</f>
        <v>ENFIDHA</v>
      </c>
      <c r="F108" s="162" t="str">
        <f>VLOOKUP(VLOOKUP(A108,DB_Locations!A:B,2,FALSE),DB_Patients!A:M,13,FALSE)</f>
        <v>CNAM</v>
      </c>
      <c r="G108" s="162" t="str">
        <f>VLOOKUP(VLOOKUP(A108,DB_Locations!A:B,2,FALSE),DB_Patients!A:L,12,FALSE)</f>
        <v>GARGOURI IMEN</v>
      </c>
      <c r="H108" s="162" t="str">
        <f>VLOOKUP(A108,DB_Locations!A:F,6,FALSE)</f>
        <v>BILEL BOUHLEL</v>
      </c>
      <c r="I108" s="162">
        <f>VLOOKUP(A108,DB_Locations!A:G,7,FALSE)</f>
        <v>0</v>
      </c>
      <c r="J108" s="162" t="str">
        <f>VLOOKUP(VLOOKUP(A108,DB_Locations!A:C,3,FALSE),DB_Appareils!A:B,2,FALSE)</f>
        <v>CONCENTRATEUR O2</v>
      </c>
      <c r="K108" s="161">
        <f>VLOOKUP(A108,DB_Locations!A:D,4,FALSE)</f>
        <v>45112</v>
      </c>
      <c r="L108" s="161" cm="1">
        <f t="array" ref="L108">IF(COUNTIF(DB_Paiements!B:B,A108)=0,"",LOOKUP(2,1/(DB_Paiements!B:B=A108),DB_Paiements!D:D))</f>
        <v>45769</v>
      </c>
      <c r="M108" s="161" cm="1">
        <f t="array" ref="M108">IF(COUNTIF(DB_Paiements!B:B,A108)=0,"",LOOKUP(2,1/(DB_Paiements!B:B=A108),DB_Paiements!E:E))</f>
        <v>45859</v>
      </c>
      <c r="N108" s="162" t="str" cm="1">
        <f t="array" ref="N108">IF(COUNTIF(DB_Paiements!B:B,A108)=0,"",LOOKUP(2,1/(DB_Paiements!B:B=A108),DB_Paiements!G:G))</f>
        <v>CNAM</v>
      </c>
      <c r="O108" s="162" cm="1">
        <f t="array" ref="O108">IF(COUNTIF(DB_Paiements!B:B,A108)=0,"",LOOKUP(2,1/(DB_Paiements!B:B=A108),DB_Paiements!F:F))</f>
        <v>570</v>
      </c>
      <c r="P108" s="160">
        <v>45895</v>
      </c>
      <c r="Q108" s="162">
        <f ca="1">IF(M108&lt;&gt;"",TODAY()-M108,"")</f>
        <v>36</v>
      </c>
      <c r="R108" s="162" t="str">
        <f>VLOOKUP(VLOOKUP(A108,DB_Locations!A:C,3,FALSE),DB_Appareils!A:F,6,FALSE)</f>
        <v xml:space="preserve">En location </v>
      </c>
      <c r="S108" s="162" t="str">
        <f>VLOOKUP(A108,DB_Locations!A:I,9,FALSE)</f>
        <v>Actif</v>
      </c>
      <c r="T108" s="162" t="s">
        <v>2329</v>
      </c>
      <c r="U108" s="163">
        <v>45865</v>
      </c>
      <c r="V108" s="164">
        <f ca="1">IF(U108&lt;&gt;"",TODAY()-U108,"")</f>
        <v>30</v>
      </c>
      <c r="W108" s="164" t="s">
        <v>2446</v>
      </c>
    </row>
    <row r="109" spans="1:23" x14ac:dyDescent="0.25">
      <c r="A109" s="162" t="s">
        <v>1449</v>
      </c>
      <c r="B109" s="162" t="str">
        <f>VLOOKUP(VLOOKUP(A109,DB_Locations!A:B,2,FALSE),DB_Patients!A:B,2,FALSE)</f>
        <v>BOUAZZA KAMEL</v>
      </c>
      <c r="C109" s="162" t="str">
        <f>VLOOKUP(VLOOKUP(A109,DB_Locations!A:B,2,FALSE),DB_Patients!A:H,8,FALSE)&amp;IF(VLOOKUP(VLOOKUP(A109,DB_Locations!A:B,2,FALSE),DB_Patients!A:I,9,FALSE)&lt;&gt;""," ("&amp;VLOOKUP(VLOOKUP(A109,DB_Locations!A:B,2,FALSE),DB_Patients!A:I,9,FALSE)&amp;")","")</f>
        <v>50469103</v>
      </c>
      <c r="D109" s="162" t="str">
        <f>VLOOKUP(VLOOKUP(A109,DB_Locations!A:B,2,FALSE),DB_Patients!A:J,10,FALSE)&amp;" ("&amp;VLOOKUP(VLOOKUP(A109,DB_Locations!A:B,2,FALSE),DB_Patients!A:K,11,FALSE)&amp;")"</f>
        <v>96120112 ()</v>
      </c>
      <c r="E109" s="162" t="str">
        <f>VLOOKUP(VLOOKUP(A109,DB_Locations!A:B,2,FALSE),DB_Patients!A:F,6,FALSE)</f>
        <v>SOUSSE</v>
      </c>
      <c r="F109" s="162" t="str">
        <f>VLOOKUP(VLOOKUP(A109,DB_Locations!A:B,2,FALSE),DB_Patients!A:M,13,FALSE)</f>
        <v>CNAM</v>
      </c>
      <c r="G109" s="162" t="str">
        <f>VLOOKUP(VLOOKUP(A109,DB_Locations!A:B,2,FALSE),DB_Patients!A:L,12,FALSE)</f>
        <v>GARGOURI IMEN</v>
      </c>
      <c r="H109" s="162" t="str">
        <f>VLOOKUP(A109,DB_Locations!A:F,6,FALSE)</f>
        <v>KARIM</v>
      </c>
      <c r="I109" s="162">
        <f>VLOOKUP(A109,DB_Locations!A:G,7,FALSE)</f>
        <v>0</v>
      </c>
      <c r="J109" s="162" t="str">
        <f>VLOOKUP(VLOOKUP(A109,DB_Locations!A:C,3,FALSE),DB_Appareils!A:B,2,FALSE)</f>
        <v>CONCENTRATEUR O2</v>
      </c>
      <c r="K109" s="161">
        <f>VLOOKUP(A109,DB_Locations!A:D,4,FALSE)</f>
        <v>45799</v>
      </c>
      <c r="L109" s="161" cm="1">
        <f t="array" ref="L109">IF(COUNTIF(DB_Paiements!B:B,A109)=0,"",LOOKUP(2,1/(DB_Paiements!B:B=A109),DB_Paiements!D:D))</f>
        <v>45804</v>
      </c>
      <c r="M109" s="161" cm="1">
        <f t="array" ref="M109">IF(COUNTIF(DB_Paiements!B:B,A109)=0,"",LOOKUP(2,1/(DB_Paiements!B:B=A109),DB_Paiements!E:E))</f>
        <v>45895</v>
      </c>
      <c r="N109" s="162" t="str" cm="1">
        <f t="array" ref="N109">IF(COUNTIF(DB_Paiements!B:B,A109)=0,"",LOOKUP(2,1/(DB_Paiements!B:B=A109),DB_Paiements!G:G))</f>
        <v>CNAM</v>
      </c>
      <c r="O109" s="162" cm="1">
        <f t="array" ref="O109">IF(COUNTIF(DB_Paiements!B:B,A109)=0,"",LOOKUP(2,1/(DB_Paiements!B:B=A109),DB_Paiements!F:F))</f>
        <v>570</v>
      </c>
      <c r="P109" s="160"/>
      <c r="Q109" s="162">
        <f ca="1">IF(M109&lt;&gt;"",TODAY()-M109,"")</f>
        <v>0</v>
      </c>
      <c r="R109" s="162" t="str">
        <f>VLOOKUP(VLOOKUP(A109,DB_Locations!A:C,3,FALSE),DB_Appareils!A:F,6,FALSE)</f>
        <v>En location</v>
      </c>
      <c r="S109" s="162" t="str">
        <f>VLOOKUP(A109,DB_Locations!A:I,9,FALSE)</f>
        <v>Actif</v>
      </c>
      <c r="T109" s="162"/>
      <c r="U109" s="162"/>
      <c r="V109" s="164" t="str">
        <f ca="1">IF(U109&lt;&gt;"",TODAY()-U109,"")</f>
        <v/>
      </c>
      <c r="W109" s="164"/>
    </row>
    <row r="110" spans="1:23" x14ac:dyDescent="0.25">
      <c r="A110" s="162" t="s">
        <v>1450</v>
      </c>
      <c r="B110" s="162" t="str">
        <f>VLOOKUP(VLOOKUP(A110,DB_Locations!A:B,2,FALSE),DB_Patients!A:B,2,FALSE)</f>
        <v>BOUAZZA KAMEL</v>
      </c>
      <c r="C110" s="162" t="str">
        <f>VLOOKUP(VLOOKUP(A110,DB_Locations!A:B,2,FALSE),DB_Patients!A:H,8,FALSE)&amp;IF(VLOOKUP(VLOOKUP(A110,DB_Locations!A:B,2,FALSE),DB_Patients!A:I,9,FALSE)&lt;&gt;""," ("&amp;VLOOKUP(VLOOKUP(A110,DB_Locations!A:B,2,FALSE),DB_Patients!A:I,9,FALSE)&amp;")","")</f>
        <v>50469103</v>
      </c>
      <c r="D110" s="162" t="str">
        <f>VLOOKUP(VLOOKUP(A110,DB_Locations!A:B,2,FALSE),DB_Patients!A:J,10,FALSE)&amp;" ("&amp;VLOOKUP(VLOOKUP(A110,DB_Locations!A:B,2,FALSE),DB_Patients!A:K,11,FALSE)&amp;")"</f>
        <v>96120112 ()</v>
      </c>
      <c r="E110" s="162" t="str">
        <f>VLOOKUP(VLOOKUP(A110,DB_Locations!A:B,2,FALSE),DB_Patients!A:F,6,FALSE)</f>
        <v>SOUSSE</v>
      </c>
      <c r="F110" s="162" t="str">
        <f>VLOOKUP(VLOOKUP(A110,DB_Locations!A:B,2,FALSE),DB_Patients!A:M,13,FALSE)</f>
        <v>CNAM</v>
      </c>
      <c r="G110" s="162" t="str">
        <f>VLOOKUP(VLOOKUP(A110,DB_Locations!A:B,2,FALSE),DB_Patients!A:L,12,FALSE)</f>
        <v>GARGOURI IMEN</v>
      </c>
      <c r="H110" s="162" t="str">
        <f>VLOOKUP(A110,DB_Locations!A:F,6,FALSE)</f>
        <v>KARIM</v>
      </c>
      <c r="I110" s="162">
        <f>VLOOKUP(A110,DB_Locations!A:G,7,FALSE)</f>
        <v>0</v>
      </c>
      <c r="J110" s="162" t="str">
        <f>VLOOKUP(VLOOKUP(A110,DB_Locations!A:C,3,FALSE),DB_Appareils!A:B,2,FALSE)</f>
        <v>VNI</v>
      </c>
      <c r="K110" s="161">
        <f>VLOOKUP(A110,DB_Locations!A:D,4,FALSE)</f>
        <v>45799</v>
      </c>
      <c r="L110" s="161" cm="1">
        <f t="array" ref="L110">IF(COUNTIF(DB_Paiements!B:B,A110)=0,"",LOOKUP(2,1/(DB_Paiements!B:B=A110),DB_Paiements!D:D))</f>
        <v>45804</v>
      </c>
      <c r="M110" s="161" cm="1">
        <f t="array" ref="M110">IF(COUNTIF(DB_Paiements!B:B,A110)=0,"",LOOKUP(2,1/(DB_Paiements!B:B=A110),DB_Paiements!E:E))</f>
        <v>45895</v>
      </c>
      <c r="N110" s="162" t="str" cm="1">
        <f t="array" ref="N110">IF(COUNTIF(DB_Paiements!B:B,A110)=0,"",LOOKUP(2,1/(DB_Paiements!B:B=A110),DB_Paiements!G:G))</f>
        <v>CNAM</v>
      </c>
      <c r="O110" s="162" cm="1">
        <f t="array" ref="O110">IF(COUNTIF(DB_Paiements!B:B,A110)=0,"",LOOKUP(2,1/(DB_Paiements!B:B=A110),DB_Paiements!F:F))</f>
        <v>1290</v>
      </c>
      <c r="P110" s="160"/>
      <c r="Q110" s="162">
        <f ca="1">IF(M110&lt;&gt;"",TODAY()-M110,"")</f>
        <v>0</v>
      </c>
      <c r="R110" s="162" t="str">
        <f>VLOOKUP(VLOOKUP(A110,DB_Locations!A:C,3,FALSE),DB_Appareils!A:F,6,FALSE)</f>
        <v>En location</v>
      </c>
      <c r="S110" s="162" t="str">
        <f>VLOOKUP(A110,DB_Locations!A:I,9,FALSE)</f>
        <v>Actif</v>
      </c>
      <c r="T110" s="162"/>
      <c r="U110" s="162"/>
      <c r="V110" s="164" t="str">
        <f ca="1">IF(U110&lt;&gt;"",TODAY()-U110,"")</f>
        <v/>
      </c>
      <c r="W110" s="164"/>
    </row>
    <row r="111" spans="1:23" x14ac:dyDescent="0.25">
      <c r="A111" s="162" t="s">
        <v>1484</v>
      </c>
      <c r="B111" s="162" t="str">
        <f>VLOOKUP(VLOOKUP(A111,DB_Locations!A:B,2,FALSE),DB_Patients!A:B,2,FALSE)</f>
        <v>BOUBAKER FAOUZI</v>
      </c>
      <c r="C111" s="162" t="str">
        <f>VLOOKUP(VLOOKUP(A111,DB_Locations!A:B,2,FALSE),DB_Patients!A:H,8,FALSE)&amp;IF(VLOOKUP(VLOOKUP(A111,DB_Locations!A:B,2,FALSE),DB_Patients!A:I,9,FALSE)&lt;&gt;""," ("&amp;VLOOKUP(VLOOKUP(A111,DB_Locations!A:B,2,FALSE),DB_Patients!A:I,9,FALSE)&amp;")","")</f>
        <v>22163684</v>
      </c>
      <c r="D111" s="162" t="str">
        <f>VLOOKUP(VLOOKUP(A111,DB_Locations!A:B,2,FALSE),DB_Patients!A:J,10,FALSE)&amp;" ("&amp;VLOOKUP(VLOOKUP(A111,DB_Locations!A:B,2,FALSE),DB_Patients!A:K,11,FALSE)&amp;")"</f>
        <v>94092237 ()</v>
      </c>
      <c r="E111" s="162" t="str">
        <f>VLOOKUP(VLOOKUP(A111,DB_Locations!A:B,2,FALSE),DB_Patients!A:F,6,FALSE)</f>
        <v>CHEBBA</v>
      </c>
      <c r="F111" s="162" t="str">
        <f>VLOOKUP(VLOOKUP(A111,DB_Locations!A:B,2,FALSE),DB_Patients!A:M,13,FALSE)</f>
        <v>CNAM</v>
      </c>
      <c r="G111" s="162" t="str">
        <f>VLOOKUP(VLOOKUP(A111,DB_Locations!A:B,2,FALSE),DB_Patients!A:L,12,FALSE)</f>
        <v>WAHID BRAHEM</v>
      </c>
      <c r="H111" s="162" t="str">
        <f>VLOOKUP(A111,DB_Locations!A:F,6,FALSE)</f>
        <v>KARIM</v>
      </c>
      <c r="I111" s="162">
        <f>VLOOKUP(A111,DB_Locations!A:G,7,FALSE)</f>
        <v>0</v>
      </c>
      <c r="J111" s="162" t="str">
        <f>VLOOKUP(VLOOKUP(A111,DB_Locations!A:C,3,FALSE),DB_Appareils!A:B,2,FALSE)</f>
        <v>VNI</v>
      </c>
      <c r="K111" s="161">
        <f>VLOOKUP(A111,DB_Locations!A:D,4,FALSE)</f>
        <v>44076</v>
      </c>
      <c r="L111" s="161" cm="1">
        <f t="array" ref="L111">IF(COUNTIF(DB_Paiements!B:B,A111)=0,"",LOOKUP(2,1/(DB_Paiements!B:B=A111),DB_Paiements!D:D))</f>
        <v>45753</v>
      </c>
      <c r="M111" s="161" cm="1">
        <f t="array" ref="M111">IF(COUNTIF(DB_Paiements!B:B,A111)=0,"",LOOKUP(2,1/(DB_Paiements!B:B=A111),DB_Paiements!E:E))</f>
        <v>45935</v>
      </c>
      <c r="N111" s="162" t="str" cm="1">
        <f t="array" ref="N111">IF(COUNTIF(DB_Paiements!B:B,A111)=0,"",LOOKUP(2,1/(DB_Paiements!B:B=A111),DB_Paiements!G:G))</f>
        <v>CNAM</v>
      </c>
      <c r="O111" s="162" cm="1">
        <f t="array" ref="O111">IF(COUNTIF(DB_Paiements!B:B,A111)=0,"",LOOKUP(2,1/(DB_Paiements!B:B=A111),DB_Paiements!F:F))</f>
        <v>2580</v>
      </c>
      <c r="P111" s="160"/>
      <c r="Q111" s="162">
        <f ca="1">IF(M111&lt;&gt;"",TODAY()-M111,"")</f>
        <v>-40</v>
      </c>
      <c r="R111" s="162" t="str">
        <f>VLOOKUP(VLOOKUP(A111,DB_Locations!A:C,3,FALSE),DB_Appareils!A:F,6,FALSE)</f>
        <v>En location</v>
      </c>
      <c r="S111" s="162" t="str">
        <f>VLOOKUP(A111,DB_Locations!A:I,9,FALSE)</f>
        <v>ACTIF</v>
      </c>
      <c r="T111" s="162"/>
      <c r="U111" s="162"/>
      <c r="V111" s="162"/>
      <c r="W111" s="164"/>
    </row>
    <row r="112" spans="1:23" x14ac:dyDescent="0.25">
      <c r="A112" s="162" t="s">
        <v>1485</v>
      </c>
      <c r="B112" s="162" t="str">
        <f>VLOOKUP(VLOOKUP(A112,DB_Locations!A:B,2,FALSE),DB_Patients!A:B,2,FALSE)</f>
        <v>TAHER OTHMANI</v>
      </c>
      <c r="C112" s="162" t="str">
        <f>VLOOKUP(VLOOKUP(A112,DB_Locations!A:B,2,FALSE),DB_Patients!A:H,8,FALSE)&amp;IF(VLOOKUP(VLOOKUP(A112,DB_Locations!A:B,2,FALSE),DB_Patients!A:I,9,FALSE)&lt;&gt;""," ("&amp;VLOOKUP(VLOOKUP(A112,DB_Locations!A:B,2,FALSE),DB_Patients!A:I,9,FALSE)&amp;")","")</f>
        <v>97406107 (55690624)</v>
      </c>
      <c r="D112" s="162" t="str">
        <f>VLOOKUP(VLOOKUP(A112,DB_Locations!A:B,2,FALSE),DB_Patients!A:J,10,FALSE)&amp;" ("&amp;VLOOKUP(VLOOKUP(A112,DB_Locations!A:B,2,FALSE),DB_Patients!A:K,11,FALSE)&amp;")"</f>
        <v>93191535 ()</v>
      </c>
      <c r="E112" s="162" t="str">
        <f>VLOOKUP(VLOOKUP(A112,DB_Locations!A:B,2,FALSE),DB_Patients!A:F,6,FALSE)</f>
        <v>KALAA KBIRA</v>
      </c>
      <c r="F112" s="162" t="str">
        <f>VLOOKUP(VLOOKUP(A112,DB_Locations!A:B,2,FALSE),DB_Patients!A:M,13,FALSE)</f>
        <v>CNAM</v>
      </c>
      <c r="G112" s="162" t="str">
        <f>VLOOKUP(VLOOKUP(A112,DB_Locations!A:B,2,FALSE),DB_Patients!A:L,12,FALSE)</f>
        <v>ASMA KNAZ</v>
      </c>
      <c r="H112" s="162" t="str">
        <f>VLOOKUP(A112,DB_Locations!A:F,6,FALSE)</f>
        <v>KARIM</v>
      </c>
      <c r="I112" s="162">
        <f>VLOOKUP(A112,DB_Locations!A:G,7,FALSE)</f>
        <v>0</v>
      </c>
      <c r="J112" s="162" t="str">
        <f>VLOOKUP(VLOOKUP(A112,DB_Locations!A:C,3,FALSE),DB_Appareils!A:B,2,FALSE)</f>
        <v>VNI</v>
      </c>
      <c r="K112" s="161">
        <f>VLOOKUP(A112,DB_Locations!A:D,4,FALSE)</f>
        <v>44149</v>
      </c>
      <c r="L112" s="161" cm="1">
        <f t="array" ref="L112">IF(COUNTIF(DB_Paiements!B:B,A112)=0,"",LOOKUP(2,1/(DB_Paiements!B:B=A112),DB_Paiements!D:D))</f>
        <v>45657</v>
      </c>
      <c r="M112" s="161" cm="1">
        <f t="array" ref="M112">IF(COUNTIF(DB_Paiements!B:B,A112)=0,"",LOOKUP(2,1/(DB_Paiements!B:B=A112),DB_Paiements!E:E))</f>
        <v>45838</v>
      </c>
      <c r="N112" s="162" t="str" cm="1">
        <f t="array" ref="N112">IF(COUNTIF(DB_Paiements!B:B,A112)=0,"",LOOKUP(2,1/(DB_Paiements!B:B=A112),DB_Paiements!G:G))</f>
        <v>CNAM</v>
      </c>
      <c r="O112" s="162" cm="1">
        <f t="array" ref="O112">IF(COUNTIF(DB_Paiements!B:B,A112)=0,"",LOOKUP(2,1/(DB_Paiements!B:B=A112),DB_Paiements!F:F))</f>
        <v>2580</v>
      </c>
      <c r="P112" s="160"/>
      <c r="Q112" s="162">
        <f ca="1">IF(M112&lt;&gt;"",TODAY()-M112,"")</f>
        <v>57</v>
      </c>
      <c r="R112" s="162" t="str">
        <f>VLOOKUP(VLOOKUP(A112,DB_Locations!A:C,3,FALSE),DB_Appareils!A:F,6,FALSE)</f>
        <v>En location</v>
      </c>
      <c r="S112" s="162" t="str">
        <f>VLOOKUP(A112,DB_Locations!A:I,9,FALSE)</f>
        <v>ACTIF</v>
      </c>
      <c r="T112" s="162"/>
      <c r="U112" s="162"/>
      <c r="V112" s="164" t="str">
        <f ca="1">IF(U112&lt;&gt;"",TODAY()-U112,"")</f>
        <v/>
      </c>
      <c r="W112" s="164"/>
    </row>
    <row r="113" spans="1:23" x14ac:dyDescent="0.25">
      <c r="A113" s="162" t="s">
        <v>1486</v>
      </c>
      <c r="B113" s="162" t="str">
        <f>VLOOKUP(VLOOKUP(A113,DB_Locations!A:B,2,FALSE),DB_Patients!A:B,2,FALSE)</f>
        <v>SLAH KHELIFA</v>
      </c>
      <c r="C113" s="162" t="str">
        <f>VLOOKUP(VLOOKUP(A113,DB_Locations!A:B,2,FALSE),DB_Patients!A:H,8,FALSE)&amp;IF(VLOOKUP(VLOOKUP(A113,DB_Locations!A:B,2,FALSE),DB_Patients!A:I,9,FALSE)&lt;&gt;""," ("&amp;VLOOKUP(VLOOKUP(A113,DB_Locations!A:B,2,FALSE),DB_Patients!A:I,9,FALSE)&amp;")","")</f>
        <v>25739661</v>
      </c>
      <c r="D113" s="162" t="str">
        <f>VLOOKUP(VLOOKUP(A113,DB_Locations!A:B,2,FALSE),DB_Patients!A:J,10,FALSE)&amp;" ("&amp;VLOOKUP(VLOOKUP(A113,DB_Locations!A:B,2,FALSE),DB_Patients!A:K,11,FALSE)&amp;")"</f>
        <v>22  856 117 ()</v>
      </c>
      <c r="E113" s="162" t="str">
        <f>VLOOKUP(VLOOKUP(A113,DB_Locations!A:B,2,FALSE),DB_Patients!A:F,6,FALSE)</f>
        <v>ZAOUIA SOUSSE</v>
      </c>
      <c r="F113" s="162" t="str">
        <f>VLOOKUP(VLOOKUP(A113,DB_Locations!A:B,2,FALSE),DB_Patients!A:M,13,FALSE)</f>
        <v>CNAM</v>
      </c>
      <c r="G113" s="162" t="str">
        <f>VLOOKUP(VLOOKUP(A113,DB_Locations!A:B,2,FALSE),DB_Patients!A:L,12,FALSE)</f>
        <v>ASMA KNAZ</v>
      </c>
      <c r="H113" s="162" t="str">
        <f>VLOOKUP(A113,DB_Locations!A:F,6,FALSE)</f>
        <v>KARIM</v>
      </c>
      <c r="I113" s="162">
        <f>VLOOKUP(A113,DB_Locations!A:G,7,FALSE)</f>
        <v>0</v>
      </c>
      <c r="J113" s="162" t="str">
        <f>VLOOKUP(VLOOKUP(A113,DB_Locations!A:C,3,FALSE),DB_Appareils!A:B,2,FALSE)</f>
        <v>VNI</v>
      </c>
      <c r="K113" s="161">
        <f>VLOOKUP(A113,DB_Locations!A:D,4,FALSE)</f>
        <v>44203</v>
      </c>
      <c r="L113" s="161" cm="1">
        <f t="array" ref="L113">IF(COUNTIF(DB_Paiements!B:B,A113)=0,"",LOOKUP(2,1/(DB_Paiements!B:B=A113),DB_Paiements!D:D))</f>
        <v>45684</v>
      </c>
      <c r="M113" s="161" cm="1">
        <f t="array" ref="M113">IF(COUNTIF(DB_Paiements!B:B,A113)=0,"",LOOKUP(2,1/(DB_Paiements!B:B=A113),DB_Paiements!E:E))</f>
        <v>45864</v>
      </c>
      <c r="N113" s="162" t="str" cm="1">
        <f t="array" ref="N113">IF(COUNTIF(DB_Paiements!B:B,A113)=0,"",LOOKUP(2,1/(DB_Paiements!B:B=A113),DB_Paiements!G:G))</f>
        <v>CNAM</v>
      </c>
      <c r="O113" s="162" cm="1">
        <f t="array" ref="O113">IF(COUNTIF(DB_Paiements!B:B,A113)=0,"",LOOKUP(2,1/(DB_Paiements!B:B=A113),DB_Paiements!F:F))</f>
        <v>2580</v>
      </c>
      <c r="P113" s="160"/>
      <c r="Q113" s="162">
        <f ca="1">IF(M113&lt;&gt;"",TODAY()-M113,"")</f>
        <v>31</v>
      </c>
      <c r="R113" s="162" t="str">
        <f>VLOOKUP(VLOOKUP(A113,DB_Locations!A:C,3,FALSE),DB_Appareils!A:F,6,FALSE)</f>
        <v>En location</v>
      </c>
      <c r="S113" s="162" t="str">
        <f>VLOOKUP(A113,DB_Locations!A:I,9,FALSE)</f>
        <v>ACTIF</v>
      </c>
      <c r="T113" s="162"/>
      <c r="U113" s="162"/>
      <c r="V113" s="164" t="str">
        <f ca="1">IF(U113&lt;&gt;"",TODAY()-U113,"")</f>
        <v/>
      </c>
      <c r="W113" s="164"/>
    </row>
    <row r="114" spans="1:23" x14ac:dyDescent="0.25">
      <c r="A114" s="162" t="s">
        <v>1487</v>
      </c>
      <c r="B114" s="162" t="str">
        <f>VLOOKUP(VLOOKUP(A114,DB_Locations!A:B,2,FALSE),DB_Patients!A:B,2,FALSE)</f>
        <v>ZEGNANI KHALED</v>
      </c>
      <c r="C114" s="162" t="str">
        <f>VLOOKUP(VLOOKUP(A114,DB_Locations!A:B,2,FALSE),DB_Patients!A:H,8,FALSE)&amp;IF(VLOOKUP(VLOOKUP(A114,DB_Locations!A:B,2,FALSE),DB_Patients!A:I,9,FALSE)&lt;&gt;""," ("&amp;VLOOKUP(VLOOKUP(A114,DB_Locations!A:B,2,FALSE),DB_Patients!A:I,9,FALSE)&amp;")","")</f>
        <v>50173782</v>
      </c>
      <c r="D114" s="162" t="str">
        <f>VLOOKUP(VLOOKUP(A114,DB_Locations!A:B,2,FALSE),DB_Patients!A:J,10,FALSE)&amp;" ("&amp;VLOOKUP(VLOOKUP(A114,DB_Locations!A:B,2,FALSE),DB_Patients!A:K,11,FALSE)&amp;")"</f>
        <v>23042745 ()</v>
      </c>
      <c r="E114" s="162" t="str">
        <f>VLOOKUP(VLOOKUP(A114,DB_Locations!A:B,2,FALSE),DB_Patients!A:F,6,FALSE)</f>
        <v>MAHDIA</v>
      </c>
      <c r="F114" s="162" t="str">
        <f>VLOOKUP(VLOOKUP(A114,DB_Locations!A:B,2,FALSE),DB_Patients!A:M,13,FALSE)</f>
        <v>CNAM</v>
      </c>
      <c r="G114" s="162" t="str">
        <f>VLOOKUP(VLOOKUP(A114,DB_Locations!A:B,2,FALSE),DB_Patients!A:L,12,FALSE)</f>
        <v>WAHID BRAHEM</v>
      </c>
      <c r="H114" s="162" t="str">
        <f>VLOOKUP(A114,DB_Locations!A:F,6,FALSE)</f>
        <v>KARIM</v>
      </c>
      <c r="I114" s="162">
        <f>VLOOKUP(A114,DB_Locations!A:G,7,FALSE)</f>
        <v>0</v>
      </c>
      <c r="J114" s="162" t="str">
        <f>VLOOKUP(VLOOKUP(A114,DB_Locations!A:C,3,FALSE),DB_Appareils!A:B,2,FALSE)</f>
        <v>VNI</v>
      </c>
      <c r="K114" s="161">
        <f>VLOOKUP(A114,DB_Locations!A:D,4,FALSE)</f>
        <v>44258</v>
      </c>
      <c r="L114" s="161" cm="1">
        <f t="array" ref="L114">IF(COUNTIF(DB_Paiements!B:B,A114)=0,"",LOOKUP(2,1/(DB_Paiements!B:B=A114),DB_Paiements!D:D))</f>
        <v>45786</v>
      </c>
      <c r="M114" s="161" cm="1">
        <f t="array" ref="M114">IF(COUNTIF(DB_Paiements!B:B,A114)=0,"",LOOKUP(2,1/(DB_Paiements!B:B=A114),DB_Paiements!E:E))</f>
        <v>45969</v>
      </c>
      <c r="N114" s="162" t="str" cm="1">
        <f t="array" ref="N114">IF(COUNTIF(DB_Paiements!B:B,A114)=0,"",LOOKUP(2,1/(DB_Paiements!B:B=A114),DB_Paiements!G:G))</f>
        <v>CNAM</v>
      </c>
      <c r="O114" s="162" cm="1">
        <f t="array" ref="O114">IF(COUNTIF(DB_Paiements!B:B,A114)=0,"",LOOKUP(2,1/(DB_Paiements!B:B=A114),DB_Paiements!F:F))</f>
        <v>2580</v>
      </c>
      <c r="P114" s="160"/>
      <c r="Q114" s="162">
        <f ca="1">IF(M114&lt;&gt;"",TODAY()-M114,"")</f>
        <v>-74</v>
      </c>
      <c r="R114" s="162" t="str">
        <f>VLOOKUP(VLOOKUP(A114,DB_Locations!A:C,3,FALSE),DB_Appareils!A:F,6,FALSE)</f>
        <v>En location</v>
      </c>
      <c r="S114" s="162" t="str">
        <f>VLOOKUP(A114,DB_Locations!A:I,9,FALSE)</f>
        <v>ACTIF</v>
      </c>
      <c r="T114" s="162"/>
      <c r="U114" s="162"/>
      <c r="V114" s="162"/>
      <c r="W114" s="164"/>
    </row>
    <row r="115" spans="1:23" x14ac:dyDescent="0.25">
      <c r="A115" s="162" t="s">
        <v>1488</v>
      </c>
      <c r="B115" s="162" t="str">
        <f>VLOOKUP(VLOOKUP(A115,DB_Locations!A:B,2,FALSE),DB_Patients!A:B,2,FALSE)</f>
        <v xml:space="preserve">HERTELLI MALEK </v>
      </c>
      <c r="C115" s="162" t="str">
        <f>VLOOKUP(VLOOKUP(A115,DB_Locations!A:B,2,FALSE),DB_Patients!A:H,8,FALSE)&amp;IF(VLOOKUP(VLOOKUP(A115,DB_Locations!A:B,2,FALSE),DB_Patients!A:I,9,FALSE)&lt;&gt;""," ("&amp;VLOOKUP(VLOOKUP(A115,DB_Locations!A:B,2,FALSE),DB_Patients!A:I,9,FALSE)&amp;")","")</f>
        <v>97885277</v>
      </c>
      <c r="D115" s="162" t="str">
        <f>VLOOKUP(VLOOKUP(A115,DB_Locations!A:B,2,FALSE),DB_Patients!A:J,10,FALSE)&amp;" ("&amp;VLOOKUP(VLOOKUP(A115,DB_Locations!A:B,2,FALSE),DB_Patients!A:K,11,FALSE)&amp;")"</f>
        <v xml:space="preserve"> (20202277)</v>
      </c>
      <c r="E115" s="162" t="str">
        <f>VLOOKUP(VLOOKUP(A115,DB_Locations!A:B,2,FALSE),DB_Patients!A:F,6,FALSE)</f>
        <v>CHEBBA</v>
      </c>
      <c r="F115" s="162" t="str">
        <f>VLOOKUP(VLOOKUP(A115,DB_Locations!A:B,2,FALSE),DB_Patients!A:M,13,FALSE)</f>
        <v>CNAM</v>
      </c>
      <c r="G115" s="162" t="str">
        <f>VLOOKUP(VLOOKUP(A115,DB_Locations!A:B,2,FALSE),DB_Patients!A:L,12,FALSE)</f>
        <v>WAHID BRAHEM</v>
      </c>
      <c r="H115" s="162" t="str">
        <f>VLOOKUP(A115,DB_Locations!A:F,6,FALSE)</f>
        <v>KARIM</v>
      </c>
      <c r="I115" s="162">
        <f>VLOOKUP(A115,DB_Locations!A:G,7,FALSE)</f>
        <v>0</v>
      </c>
      <c r="J115" s="162" t="str">
        <f>VLOOKUP(VLOOKUP(A115,DB_Locations!A:C,3,FALSE),DB_Appareils!A:B,2,FALSE)</f>
        <v>VNI</v>
      </c>
      <c r="K115" s="161">
        <f>VLOOKUP(A115,DB_Locations!A:D,4,FALSE)</f>
        <v>44428</v>
      </c>
      <c r="L115" s="161" cm="1">
        <f t="array" ref="L115">IF(COUNTIF(DB_Paiements!B:B,A115)=0,"",LOOKUP(2,1/(DB_Paiements!B:B=A115),DB_Paiements!D:D))</f>
        <v>45868</v>
      </c>
      <c r="M115" s="161" cm="1">
        <f t="array" ref="M115">IF(COUNTIF(DB_Paiements!B:B,A115)=0,"",LOOKUP(2,1/(DB_Paiements!B:B=A115),DB_Paiements!E:E))</f>
        <v>46081</v>
      </c>
      <c r="N115" s="162" t="str" cm="1">
        <f t="array" ref="N115">IF(COUNTIF(DB_Paiements!B:B,A115)=0,"",LOOKUP(2,1/(DB_Paiements!B:B=A115),DB_Paiements!G:G))</f>
        <v>CNAM</v>
      </c>
      <c r="O115" s="162" cm="1">
        <f t="array" ref="O115">IF(COUNTIF(DB_Paiements!B:B,A115)=0,"",LOOKUP(2,1/(DB_Paiements!B:B=A115),DB_Paiements!F:F))</f>
        <v>3010</v>
      </c>
      <c r="P115" s="160"/>
      <c r="Q115" s="162">
        <f ca="1">IF(M115&lt;&gt;"",TODAY()-M115,"")</f>
        <v>-186</v>
      </c>
      <c r="R115" s="162" t="str">
        <f>VLOOKUP(VLOOKUP(A115,DB_Locations!A:C,3,FALSE),DB_Appareils!A:F,6,FALSE)</f>
        <v>En location</v>
      </c>
      <c r="S115" s="162" t="str">
        <f>VLOOKUP(A115,DB_Locations!A:I,9,FALSE)</f>
        <v>ACTIF</v>
      </c>
      <c r="T115" s="162"/>
      <c r="U115" s="162"/>
      <c r="V115" s="162"/>
      <c r="W115" s="164"/>
    </row>
    <row r="116" spans="1:23" x14ac:dyDescent="0.25">
      <c r="A116" s="162" t="s">
        <v>1483</v>
      </c>
      <c r="B116" s="162" t="str">
        <f>VLOOKUP(VLOOKUP(A116,DB_Locations!A:B,2,FALSE),DB_Patients!A:B,2,FALSE)</f>
        <v>B MABROUK LAZHAR</v>
      </c>
      <c r="C116" s="162" t="str">
        <f>VLOOKUP(VLOOKUP(A116,DB_Locations!A:B,2,FALSE),DB_Patients!A:H,8,FALSE)&amp;IF(VLOOKUP(VLOOKUP(A116,DB_Locations!A:B,2,FALSE),DB_Patients!A:I,9,FALSE)&lt;&gt;""," ("&amp;VLOOKUP(VLOOKUP(A116,DB_Locations!A:B,2,FALSE),DB_Patients!A:I,9,FALSE)&amp;")","")</f>
        <v>99897071 (50 158 407 FILLE)</v>
      </c>
      <c r="D116" s="162" t="str">
        <f>VLOOKUP(VLOOKUP(A116,DB_Locations!A:B,2,FALSE),DB_Patients!A:J,10,FALSE)&amp;" ("&amp;VLOOKUP(VLOOKUP(A116,DB_Locations!A:B,2,FALSE),DB_Patients!A:K,11,FALSE)&amp;")"</f>
        <v>20043034 ()</v>
      </c>
      <c r="E116" s="162" t="str">
        <f>VLOOKUP(VLOOKUP(A116,DB_Locations!A:B,2,FALSE),DB_Patients!A:F,6,FALSE)</f>
        <v>SOUSSE</v>
      </c>
      <c r="F116" s="162" t="str">
        <f>VLOOKUP(VLOOKUP(A116,DB_Locations!A:B,2,FALSE),DB_Patients!A:M,13,FALSE)</f>
        <v>CNAM</v>
      </c>
      <c r="G116" s="162" t="str">
        <f>VLOOKUP(VLOOKUP(A116,DB_Locations!A:B,2,FALSE),DB_Patients!A:L,12,FALSE)</f>
        <v>GARGOURI IMEN</v>
      </c>
      <c r="H116" s="162" t="str">
        <f>VLOOKUP(A116,DB_Locations!A:F,6,FALSE)</f>
        <v>KARIM</v>
      </c>
      <c r="I116" s="162">
        <f>VLOOKUP(A116,DB_Locations!A:G,7,FALSE)</f>
        <v>0</v>
      </c>
      <c r="J116" s="162" t="str">
        <f>VLOOKUP(VLOOKUP(A116,DB_Locations!A:C,3,FALSE),DB_Appareils!A:B,2,FALSE)</f>
        <v>VNI</v>
      </c>
      <c r="K116" s="161">
        <f>VLOOKUP(A116,DB_Locations!A:D,4,FALSE)</f>
        <v>44046</v>
      </c>
      <c r="L116" s="161" cm="1">
        <f t="array" ref="L116">IF(COUNTIF(DB_Paiements!B:B,A116)=0,"",LOOKUP(2,1/(DB_Paiements!B:B=A116),DB_Paiements!D:D))</f>
        <v>45681</v>
      </c>
      <c r="M116" s="161" cm="1">
        <f t="array" ref="M116">IF(COUNTIF(DB_Paiements!B:B,A116)=0,"",LOOKUP(2,1/(DB_Paiements!B:B=A116),DB_Paiements!E:E))</f>
        <v>45861</v>
      </c>
      <c r="N116" s="162" t="str" cm="1">
        <f t="array" ref="N116">IF(COUNTIF(DB_Paiements!B:B,A116)=0,"",LOOKUP(2,1/(DB_Paiements!B:B=A116),DB_Paiements!G:G))</f>
        <v>CNAM</v>
      </c>
      <c r="O116" s="162" cm="1">
        <f t="array" ref="O116">IF(COUNTIF(DB_Paiements!B:B,A116)=0,"",LOOKUP(2,1/(DB_Paiements!B:B=A116),DB_Paiements!F:F))</f>
        <v>2580</v>
      </c>
      <c r="P116" s="160"/>
      <c r="Q116" s="162">
        <f ca="1">IF(M116&lt;&gt;"",TODAY()-M116,"")</f>
        <v>34</v>
      </c>
      <c r="R116" s="162" t="str">
        <f>VLOOKUP(VLOOKUP(A116,DB_Locations!A:C,3,FALSE),DB_Appareils!A:F,6,FALSE)</f>
        <v>En location</v>
      </c>
      <c r="S116" s="162" t="str">
        <f>VLOOKUP(A116,DB_Locations!A:I,9,FALSE)</f>
        <v>Actif</v>
      </c>
      <c r="T116" s="162" t="s">
        <v>2329</v>
      </c>
      <c r="U116" s="162"/>
      <c r="V116" s="164" t="str">
        <f ca="1">IF(U116&lt;&gt;"",TODAY()-U116,"")</f>
        <v/>
      </c>
      <c r="W116" s="164" t="s">
        <v>2463</v>
      </c>
    </row>
    <row r="117" spans="1:23" x14ac:dyDescent="0.25">
      <c r="A117" s="162" t="s">
        <v>1490</v>
      </c>
      <c r="B117" s="162" t="str">
        <f>VLOOKUP(VLOOKUP(A117,DB_Locations!A:B,2,FALSE),DB_Patients!A:B,2,FALSE)</f>
        <v>MNED FATMA</v>
      </c>
      <c r="C117" s="162" t="str">
        <f>VLOOKUP(VLOOKUP(A117,DB_Locations!A:B,2,FALSE),DB_Patients!A:H,8,FALSE)&amp;IF(VLOOKUP(VLOOKUP(A117,DB_Locations!A:B,2,FALSE),DB_Patients!A:I,9,FALSE)&lt;&gt;""," ("&amp;VLOOKUP(VLOOKUP(A117,DB_Locations!A:B,2,FALSE),DB_Patients!A:I,9,FALSE)&amp;")","")</f>
        <v>21998600 (SON FILS)</v>
      </c>
      <c r="D117" s="162" t="str">
        <f>VLOOKUP(VLOOKUP(A117,DB_Locations!A:B,2,FALSE),DB_Patients!A:J,10,FALSE)&amp;" ("&amp;VLOOKUP(VLOOKUP(A117,DB_Locations!A:B,2,FALSE),DB_Patients!A:K,11,FALSE)&amp;")"</f>
        <v>96109966 ()</v>
      </c>
      <c r="E117" s="162" t="str">
        <f>VLOOKUP(VLOOKUP(A117,DB_Locations!A:B,2,FALSE),DB_Patients!A:F,6,FALSE)</f>
        <v>MSAKEN</v>
      </c>
      <c r="F117" s="162" t="str">
        <f>VLOOKUP(VLOOKUP(A117,DB_Locations!A:B,2,FALSE),DB_Patients!A:M,13,FALSE)</f>
        <v>CNAM</v>
      </c>
      <c r="G117" s="162" t="str">
        <f>VLOOKUP(VLOOKUP(A117,DB_Locations!A:B,2,FALSE),DB_Patients!A:L,12,FALSE)</f>
        <v>IMEN MJANDEL</v>
      </c>
      <c r="H117" s="162" t="str">
        <f>VLOOKUP(A117,DB_Locations!A:F,6,FALSE)</f>
        <v>BILEL BOUHLEL</v>
      </c>
      <c r="I117" s="162">
        <f>VLOOKUP(A117,DB_Locations!A:G,7,FALSE)</f>
        <v>0</v>
      </c>
      <c r="J117" s="162" t="str">
        <f>VLOOKUP(VLOOKUP(A117,DB_Locations!A:C,3,FALSE),DB_Appareils!A:B,2,FALSE)</f>
        <v>VNI</v>
      </c>
      <c r="K117" s="161">
        <f>VLOOKUP(A117,DB_Locations!A:D,4,FALSE)</f>
        <v>44938</v>
      </c>
      <c r="L117" s="161" cm="1">
        <f t="array" ref="L117">IF(COUNTIF(DB_Paiements!B:B,A117)=0,"",LOOKUP(2,1/(DB_Paiements!B:B=A117),DB_Paiements!D:D))</f>
        <v>45782</v>
      </c>
      <c r="M117" s="161" cm="1">
        <f t="array" ref="M117">IF(COUNTIF(DB_Paiements!B:B,A117)=0,"",LOOKUP(2,1/(DB_Paiements!B:B=A117),DB_Paiements!E:E))</f>
        <v>45965</v>
      </c>
      <c r="N117" s="162" t="str" cm="1">
        <f t="array" ref="N117">IF(COUNTIF(DB_Paiements!B:B,A117)=0,"",LOOKUP(2,1/(DB_Paiements!B:B=A117),DB_Paiements!G:G))</f>
        <v>CNAM</v>
      </c>
      <c r="O117" s="162" cm="1">
        <f t="array" ref="O117">IF(COUNTIF(DB_Paiements!B:B,A117)=0,"",LOOKUP(2,1/(DB_Paiements!B:B=A117),DB_Paiements!F:F))</f>
        <v>2580</v>
      </c>
      <c r="P117" s="160"/>
      <c r="Q117" s="162">
        <f ca="1">IF(M117&lt;&gt;"",TODAY()-M117,"")</f>
        <v>-70</v>
      </c>
      <c r="R117" s="162" t="str">
        <f>VLOOKUP(VLOOKUP(A117,DB_Locations!A:C,3,FALSE),DB_Appareils!A:F,6,FALSE)</f>
        <v>En location</v>
      </c>
      <c r="S117" s="162" t="str">
        <f>VLOOKUP(A117,DB_Locations!A:I,9,FALSE)</f>
        <v>ACTIF</v>
      </c>
      <c r="T117" s="162"/>
      <c r="U117" s="162"/>
      <c r="V117" s="162"/>
      <c r="W117" s="164"/>
    </row>
    <row r="118" spans="1:23" x14ac:dyDescent="0.25">
      <c r="A118" s="162" t="s">
        <v>1491</v>
      </c>
      <c r="B118" s="162" t="str">
        <f>VLOOKUP(VLOOKUP(A118,DB_Locations!A:B,2,FALSE),DB_Patients!A:B,2,FALSE)</f>
        <v xml:space="preserve">BANNOUR SALAH </v>
      </c>
      <c r="C118" s="162" t="str">
        <f>VLOOKUP(VLOOKUP(A118,DB_Locations!A:B,2,FALSE),DB_Patients!A:H,8,FALSE)&amp;IF(VLOOKUP(VLOOKUP(A118,DB_Locations!A:B,2,FALSE),DB_Patients!A:I,9,FALSE)&lt;&gt;""," ("&amp;VLOOKUP(VLOOKUP(A118,DB_Locations!A:B,2,FALSE),DB_Patients!A:I,9,FALSE)&amp;")","")</f>
        <v>56464659</v>
      </c>
      <c r="D118" s="162" t="str">
        <f>VLOOKUP(VLOOKUP(A118,DB_Locations!A:B,2,FALSE),DB_Patients!A:J,10,FALSE)&amp;" ("&amp;VLOOKUP(VLOOKUP(A118,DB_Locations!A:B,2,FALSE),DB_Patients!A:K,11,FALSE)&amp;")"</f>
        <v>53447276 ()</v>
      </c>
      <c r="E118" s="162" t="str">
        <f>VLOOKUP(VLOOKUP(A118,DB_Locations!A:B,2,FALSE),DB_Patients!A:F,6,FALSE)</f>
        <v>HIBOUN</v>
      </c>
      <c r="F118" s="162" t="str">
        <f>VLOOKUP(VLOOKUP(A118,DB_Locations!A:B,2,FALSE),DB_Patients!A:M,13,FALSE)</f>
        <v>CNAM</v>
      </c>
      <c r="G118" s="162" t="str">
        <f>VLOOKUP(VLOOKUP(A118,DB_Locations!A:B,2,FALSE),DB_Patients!A:L,12,FALSE)</f>
        <v>WAHID BRAHEM</v>
      </c>
      <c r="H118" s="162" t="str">
        <f>VLOOKUP(A118,DB_Locations!A:F,6,FALSE)</f>
        <v>KARIM</v>
      </c>
      <c r="I118" s="162">
        <f>VLOOKUP(A118,DB_Locations!A:G,7,FALSE)</f>
        <v>0</v>
      </c>
      <c r="J118" s="162" t="str">
        <f>VLOOKUP(VLOOKUP(A118,DB_Locations!A:C,3,FALSE),DB_Appareils!A:B,2,FALSE)</f>
        <v>VNI</v>
      </c>
      <c r="K118" s="161">
        <f>VLOOKUP(A118,DB_Locations!A:D,4,FALSE)</f>
        <v>44982</v>
      </c>
      <c r="L118" s="161" cm="1">
        <f t="array" ref="L118">IF(COUNTIF(DB_Paiements!B:B,A118)=0,"",LOOKUP(2,1/(DB_Paiements!B:B=A118),DB_Paiements!D:D))</f>
        <v>45771</v>
      </c>
      <c r="M118" s="161" cm="1">
        <f t="array" ref="M118">IF(COUNTIF(DB_Paiements!B:B,A118)=0,"",LOOKUP(2,1/(DB_Paiements!B:B=A118),DB_Paiements!E:E))</f>
        <v>45953</v>
      </c>
      <c r="N118" s="162" t="str" cm="1">
        <f t="array" ref="N118">IF(COUNTIF(DB_Paiements!B:B,A118)=0,"",LOOKUP(2,1/(DB_Paiements!B:B=A118),DB_Paiements!G:G))</f>
        <v>CNAM</v>
      </c>
      <c r="O118" s="162" cm="1">
        <f t="array" ref="O118">IF(COUNTIF(DB_Paiements!B:B,A118)=0,"",LOOKUP(2,1/(DB_Paiements!B:B=A118),DB_Paiements!F:F))</f>
        <v>2580</v>
      </c>
      <c r="P118" s="160"/>
      <c r="Q118" s="162">
        <f ca="1">IF(M118&lt;&gt;"",TODAY()-M118,"")</f>
        <v>-58</v>
      </c>
      <c r="R118" s="162" t="str">
        <f>VLOOKUP(VLOOKUP(A118,DB_Locations!A:C,3,FALSE),DB_Appareils!A:F,6,FALSE)</f>
        <v>En location</v>
      </c>
      <c r="S118" s="162" t="str">
        <f>VLOOKUP(A118,DB_Locations!A:I,9,FALSE)</f>
        <v>ACTIF</v>
      </c>
      <c r="T118" s="162"/>
      <c r="U118" s="162"/>
      <c r="V118" s="162"/>
      <c r="W118" s="164"/>
    </row>
    <row r="119" spans="1:23" x14ac:dyDescent="0.25">
      <c r="A119" s="162" t="s">
        <v>1492</v>
      </c>
      <c r="B119" s="162" t="str">
        <f>VLOOKUP(VLOOKUP(A119,DB_Locations!A:B,2,FALSE),DB_Patients!A:B,2,FALSE)</f>
        <v>BEN YOUNES SAMIRA</v>
      </c>
      <c r="C119" s="162" t="str">
        <f>VLOOKUP(VLOOKUP(A119,DB_Locations!A:B,2,FALSE),DB_Patients!A:H,8,FALSE)&amp;IF(VLOOKUP(VLOOKUP(A119,DB_Locations!A:B,2,FALSE),DB_Patients!A:I,9,FALSE)&lt;&gt;""," ("&amp;VLOOKUP(VLOOKUP(A119,DB_Locations!A:B,2,FALSE),DB_Patients!A:I,9,FALSE)&amp;")","")</f>
        <v>93507886 (AMEL)</v>
      </c>
      <c r="D119" s="162" t="str">
        <f>VLOOKUP(VLOOKUP(A119,DB_Locations!A:B,2,FALSE),DB_Patients!A:J,10,FALSE)&amp;" ("&amp;VLOOKUP(VLOOKUP(A119,DB_Locations!A:B,2,FALSE),DB_Patients!A:K,11,FALSE)&amp;")"</f>
        <v>55112534 (SAMIRA)</v>
      </c>
      <c r="E119" s="162" t="str">
        <f>VLOOKUP(VLOOKUP(A119,DB_Locations!A:B,2,FALSE),DB_Patients!A:F,6,FALSE)</f>
        <v>SLIMEN</v>
      </c>
      <c r="F119" s="162" t="str">
        <f>VLOOKUP(VLOOKUP(A119,DB_Locations!A:B,2,FALSE),DB_Patients!A:M,13,FALSE)</f>
        <v>CNAM</v>
      </c>
      <c r="G119" s="162" t="str">
        <f>VLOOKUP(VLOOKUP(A119,DB_Locations!A:B,2,FALSE),DB_Patients!A:L,12,FALSE)</f>
        <v>SOPHIA BOUSNINA FEKIH</v>
      </c>
      <c r="H119" s="162" t="str">
        <f>VLOOKUP(A119,DB_Locations!A:F,6,FALSE)</f>
        <v>BILEL BOUHLEL</v>
      </c>
      <c r="I119" s="162">
        <f>VLOOKUP(A119,DB_Locations!A:G,7,FALSE)</f>
        <v>0</v>
      </c>
      <c r="J119" s="162" t="str">
        <f>VLOOKUP(VLOOKUP(A119,DB_Locations!A:C,3,FALSE),DB_Appareils!A:B,2,FALSE)</f>
        <v>VNI</v>
      </c>
      <c r="K119" s="161">
        <f>VLOOKUP(A119,DB_Locations!A:D,4,FALSE)</f>
        <v>44985</v>
      </c>
      <c r="L119" s="161" cm="1">
        <f t="array" ref="L119">IF(COUNTIF(DB_Paiements!B:B,A119)=0,"",LOOKUP(2,1/(DB_Paiements!B:B=A119),DB_Paiements!D:D))</f>
        <v>45623</v>
      </c>
      <c r="M119" s="161" cm="1">
        <f t="array" ref="M119">IF(COUNTIF(DB_Paiements!B:B,A119)=0,"",LOOKUP(2,1/(DB_Paiements!B:B=A119),DB_Paiements!E:E))</f>
        <v>45803</v>
      </c>
      <c r="N119" s="162" t="str" cm="1">
        <f t="array" ref="N119">IF(COUNTIF(DB_Paiements!B:B,A119)=0,"",LOOKUP(2,1/(DB_Paiements!B:B=A119),DB_Paiements!G:G))</f>
        <v>CNAM</v>
      </c>
      <c r="O119" s="162" cm="1">
        <f t="array" ref="O119">IF(COUNTIF(DB_Paiements!B:B,A119)=0,"",LOOKUP(2,1/(DB_Paiements!B:B=A119),DB_Paiements!F:F))</f>
        <v>2580</v>
      </c>
      <c r="P119" s="160"/>
      <c r="Q119" s="162">
        <f ca="1">IF(M119&lt;&gt;"",TODAY()-M119,"")</f>
        <v>92</v>
      </c>
      <c r="R119" s="162" t="str">
        <f>VLOOKUP(VLOOKUP(A119,DB_Locations!A:C,3,FALSE),DB_Appareils!A:F,6,FALSE)</f>
        <v>En location</v>
      </c>
      <c r="S119" s="162" t="str">
        <f>VLOOKUP(A119,DB_Locations!A:I,9,FALSE)</f>
        <v>ACTIF</v>
      </c>
      <c r="T119" s="162" t="s">
        <v>2329</v>
      </c>
      <c r="U119" s="163">
        <v>45832</v>
      </c>
      <c r="V119" s="164">
        <f ca="1">IF(U119&lt;&gt;"",TODAY()-U119,"")</f>
        <v>63</v>
      </c>
      <c r="W119" s="164" t="s">
        <v>2464</v>
      </c>
    </row>
    <row r="120" spans="1:23" x14ac:dyDescent="0.25">
      <c r="A120" s="162" t="s">
        <v>1252</v>
      </c>
      <c r="B120" s="162" t="str">
        <f>VLOOKUP(VLOOKUP(A120,DB_Locations!A:B,2,FALSE),DB_Patients!A:B,2,FALSE)</f>
        <v>AYADI NAIMA</v>
      </c>
      <c r="C120" s="162" t="str">
        <f>VLOOKUP(VLOOKUP(A120,DB_Locations!A:B,2,FALSE),DB_Patients!A:H,8,FALSE)&amp;IF(VLOOKUP(VLOOKUP(A120,DB_Locations!A:B,2,FALSE),DB_Patients!A:I,9,FALSE)&lt;&gt;""," ("&amp;VLOOKUP(VLOOKUP(A120,DB_Locations!A:B,2,FALSE),DB_Patients!A:I,9,FALSE)&amp;")","")</f>
        <v>96204203</v>
      </c>
      <c r="D120" s="162" t="str">
        <f>VLOOKUP(VLOOKUP(A120,DB_Locations!A:B,2,FALSE),DB_Patients!A:J,10,FALSE)&amp;" ("&amp;VLOOKUP(VLOOKUP(A120,DB_Locations!A:B,2,FALSE),DB_Patients!A:K,11,FALSE)&amp;")"</f>
        <v>24801236 ()</v>
      </c>
      <c r="E120" s="162" t="str">
        <f>VLOOKUP(VLOOKUP(A120,DB_Locations!A:B,2,FALSE),DB_Patients!A:F,6,FALSE)</f>
        <v>BOUHSINA</v>
      </c>
      <c r="F120" s="162" t="str">
        <f>VLOOKUP(VLOOKUP(A120,DB_Locations!A:B,2,FALSE),DB_Patients!A:M,13,FALSE)</f>
        <v>CNAM</v>
      </c>
      <c r="G120" s="162" t="str">
        <f>VLOOKUP(VLOOKUP(A120,DB_Locations!A:B,2,FALSE),DB_Patients!A:L,12,FALSE)</f>
        <v>GARGOURI IMEN</v>
      </c>
      <c r="H120" s="162" t="str">
        <f>VLOOKUP(A120,DB_Locations!A:F,6,FALSE)</f>
        <v>BILEL BOUHLEL</v>
      </c>
      <c r="I120" s="162">
        <f>VLOOKUP(A120,DB_Locations!A:G,7,FALSE)</f>
        <v>0</v>
      </c>
      <c r="J120" s="162" t="str">
        <f>VLOOKUP(VLOOKUP(A120,DB_Locations!A:C,3,FALSE),DB_Appareils!A:B,2,FALSE)</f>
        <v>CONCENTRATEUR O2</v>
      </c>
      <c r="K120" s="161">
        <f>VLOOKUP(A120,DB_Locations!A:D,4,FALSE)</f>
        <v>44217</v>
      </c>
      <c r="L120" s="161" cm="1">
        <f t="array" ref="L120">IF(COUNTIF(DB_Paiements!B:B,A120)=0,"",LOOKUP(2,1/(DB_Paiements!B:B=A120),DB_Paiements!D:D))</f>
        <v>45794</v>
      </c>
      <c r="M120" s="161" cm="1">
        <f t="array" ref="M120">IF(COUNTIF(DB_Paiements!B:B,A120)=0,"",LOOKUP(2,1/(DB_Paiements!B:B=A120),DB_Paiements!E:E))</f>
        <v>45885</v>
      </c>
      <c r="N120" s="162" t="str" cm="1">
        <f t="array" ref="N120">IF(COUNTIF(DB_Paiements!B:B,A120)=0,"",LOOKUP(2,1/(DB_Paiements!B:B=A120),DB_Paiements!G:G))</f>
        <v>CNAM</v>
      </c>
      <c r="O120" s="162" cm="1">
        <f t="array" ref="O120">IF(COUNTIF(DB_Paiements!B:B,A120)=0,"",LOOKUP(2,1/(DB_Paiements!B:B=A120),DB_Paiements!F:F))</f>
        <v>570</v>
      </c>
      <c r="P120" s="160">
        <v>45897</v>
      </c>
      <c r="Q120" s="162">
        <f ca="1">IF(M120&lt;&gt;"",TODAY()-M120,"")</f>
        <v>10</v>
      </c>
      <c r="R120" s="162" t="str">
        <f>VLOOKUP(VLOOKUP(A120,DB_Locations!A:C,3,FALSE),DB_Appareils!A:F,6,FALSE)</f>
        <v xml:space="preserve">En location </v>
      </c>
      <c r="S120" s="162" t="str">
        <f>VLOOKUP(A120,DB_Locations!A:I,9,FALSE)</f>
        <v>Actif</v>
      </c>
      <c r="T120" s="162" t="s">
        <v>2346</v>
      </c>
      <c r="U120" s="162"/>
      <c r="V120" s="164" t="str">
        <f ca="1">IF(U120&lt;&gt;"",TODAY()-U120,"")</f>
        <v/>
      </c>
      <c r="W120" s="164" t="s">
        <v>2435</v>
      </c>
    </row>
    <row r="121" spans="1:23" x14ac:dyDescent="0.25">
      <c r="A121" s="162" t="s">
        <v>1494</v>
      </c>
      <c r="B121" s="162" t="str">
        <f>VLOOKUP(VLOOKUP(A121,DB_Locations!A:B,2,FALSE),DB_Patients!A:B,2,FALSE)</f>
        <v>OUESLATI ABDELATIF</v>
      </c>
      <c r="C121" s="162" t="str">
        <f>VLOOKUP(VLOOKUP(A121,DB_Locations!A:B,2,FALSE),DB_Patients!A:H,8,FALSE)&amp;IF(VLOOKUP(VLOOKUP(A121,DB_Locations!A:B,2,FALSE),DB_Patients!A:I,9,FALSE)&lt;&gt;""," ("&amp;VLOOKUP(VLOOKUP(A121,DB_Locations!A:B,2,FALSE),DB_Patients!A:I,9,FALSE)&amp;")","")</f>
        <v>29004257 (54811302)</v>
      </c>
      <c r="D121" s="162" t="str">
        <f>VLOOKUP(VLOOKUP(A121,DB_Locations!A:B,2,FALSE),DB_Patients!A:J,10,FALSE)&amp;" ("&amp;VLOOKUP(VLOOKUP(A121,DB_Locations!A:B,2,FALSE),DB_Patients!A:K,11,FALSE)&amp;")"</f>
        <v>27364251 ()</v>
      </c>
      <c r="E121" s="162" t="str">
        <f>VLOOKUP(VLOOKUP(A121,DB_Locations!A:B,2,FALSE),DB_Patients!A:F,6,FALSE)</f>
        <v>MSAKEN</v>
      </c>
      <c r="F121" s="162" t="str">
        <f>VLOOKUP(VLOOKUP(A121,DB_Locations!A:B,2,FALSE),DB_Patients!A:M,13,FALSE)</f>
        <v>CNAM</v>
      </c>
      <c r="G121" s="162" t="str">
        <f>VLOOKUP(VLOOKUP(A121,DB_Locations!A:B,2,FALSE),DB_Patients!A:L,12,FALSE)</f>
        <v>IMEN MJANDEL</v>
      </c>
      <c r="H121" s="162" t="str">
        <f>VLOOKUP(A121,DB_Locations!A:F,6,FALSE)</f>
        <v>BILEL BOUHLEL</v>
      </c>
      <c r="I121" s="162">
        <f>VLOOKUP(A121,DB_Locations!A:G,7,FALSE)</f>
        <v>0</v>
      </c>
      <c r="J121" s="162" t="str">
        <f>VLOOKUP(VLOOKUP(A121,DB_Locations!A:C,3,FALSE),DB_Appareils!A:B,2,FALSE)</f>
        <v>VNI</v>
      </c>
      <c r="K121" s="161">
        <f>VLOOKUP(A121,DB_Locations!A:D,4,FALSE)</f>
        <v>45091</v>
      </c>
      <c r="L121" s="161" cm="1">
        <f t="array" ref="L121">IF(COUNTIF(DB_Paiements!B:B,A121)=0,"",LOOKUP(2,1/(DB_Paiements!B:B=A121),DB_Paiements!D:D))</f>
        <v>45798</v>
      </c>
      <c r="M121" s="161" cm="1">
        <f t="array" ref="M121">IF(COUNTIF(DB_Paiements!B:B,A121)=0,"",LOOKUP(2,1/(DB_Paiements!B:B=A121),DB_Paiements!E:E))</f>
        <v>45981</v>
      </c>
      <c r="N121" s="162" t="str" cm="1">
        <f t="array" ref="N121">IF(COUNTIF(DB_Paiements!B:B,A121)=0,"",LOOKUP(2,1/(DB_Paiements!B:B=A121),DB_Paiements!G:G))</f>
        <v>CNAM</v>
      </c>
      <c r="O121" s="162" cm="1">
        <f t="array" ref="O121">IF(COUNTIF(DB_Paiements!B:B,A121)=0,"",LOOKUP(2,1/(DB_Paiements!B:B=A121),DB_Paiements!F:F))</f>
        <v>2580</v>
      </c>
      <c r="P121" s="160"/>
      <c r="Q121" s="162">
        <f ca="1">IF(M121&lt;&gt;"",TODAY()-M121,"")</f>
        <v>-86</v>
      </c>
      <c r="R121" s="162" t="str">
        <f>VLOOKUP(VLOOKUP(A121,DB_Locations!A:C,3,FALSE),DB_Appareils!A:F,6,FALSE)</f>
        <v>En location</v>
      </c>
      <c r="S121" s="162" t="str">
        <f>VLOOKUP(A121,DB_Locations!A:I,9,FALSE)</f>
        <v>ACTIF</v>
      </c>
      <c r="T121" s="162"/>
      <c r="U121" s="162"/>
      <c r="V121" s="162"/>
      <c r="W121" s="164"/>
    </row>
    <row r="122" spans="1:23" x14ac:dyDescent="0.25">
      <c r="A122" s="162" t="s">
        <v>1495</v>
      </c>
      <c r="B122" s="162" t="str">
        <f>VLOOKUP(VLOOKUP(A122,DB_Locations!A:B,2,FALSE),DB_Patients!A:B,2,FALSE)</f>
        <v>HABIB BRAHIM</v>
      </c>
      <c r="C122" s="162" t="s">
        <v>2325</v>
      </c>
      <c r="D122" s="162" t="str">
        <f>VLOOKUP(VLOOKUP(A122,DB_Locations!A:B,2,FALSE),DB_Patients!A:J,10,FALSE)&amp;" ("&amp;VLOOKUP(VLOOKUP(A122,DB_Locations!A:B,2,FALSE),DB_Patients!A:K,11,FALSE)&amp;")"</f>
        <v>24843175 ()</v>
      </c>
      <c r="E122" s="162" t="str">
        <f>VLOOKUP(VLOOKUP(A122,DB_Locations!A:B,2,FALSE),DB_Patients!A:F,6,FALSE)</f>
        <v>CHEBBA</v>
      </c>
      <c r="F122" s="162" t="str">
        <f>VLOOKUP(VLOOKUP(A122,DB_Locations!A:B,2,FALSE),DB_Patients!A:M,13,FALSE)</f>
        <v>CNAM</v>
      </c>
      <c r="G122" s="162" t="str">
        <f>VLOOKUP(VLOOKUP(A122,DB_Locations!A:B,2,FALSE),DB_Patients!A:L,12,FALSE)</f>
        <v>WAHID BRAHEM</v>
      </c>
      <c r="H122" s="162" t="str">
        <f>VLOOKUP(A122,DB_Locations!A:F,6,FALSE)</f>
        <v>KARIM</v>
      </c>
      <c r="I122" s="162">
        <f>VLOOKUP(A122,DB_Locations!A:G,7,FALSE)</f>
        <v>0</v>
      </c>
      <c r="J122" s="162" t="str">
        <f>VLOOKUP(VLOOKUP(A122,DB_Locations!A:C,3,FALSE),DB_Appareils!A:B,2,FALSE)</f>
        <v>VNI</v>
      </c>
      <c r="K122" s="161">
        <f>VLOOKUP(A122,DB_Locations!A:D,4,FALSE)</f>
        <v>45104</v>
      </c>
      <c r="L122" s="161" cm="1">
        <f t="array" ref="L122">IF(COUNTIF(DB_Paiements!B:B,A122)=0,"",LOOKUP(2,1/(DB_Paiements!B:B=A122),DB_Paiements!D:D))</f>
        <v>45684</v>
      </c>
      <c r="M122" s="161" cm="1">
        <f t="array" ref="M122">IF(COUNTIF(DB_Paiements!B:B,A122)=0,"",LOOKUP(2,1/(DB_Paiements!B:B=A122),DB_Paiements!E:E))</f>
        <v>45864</v>
      </c>
      <c r="N122" s="162" t="str" cm="1">
        <f t="array" ref="N122">IF(COUNTIF(DB_Paiements!B:B,A122)=0,"",LOOKUP(2,1/(DB_Paiements!B:B=A122),DB_Paiements!G:G))</f>
        <v>CNAM</v>
      </c>
      <c r="O122" s="162" cm="1">
        <f t="array" ref="O122">IF(COUNTIF(DB_Paiements!B:B,A122)=0,"",LOOKUP(2,1/(DB_Paiements!B:B=A122),DB_Paiements!F:F))</f>
        <v>2580</v>
      </c>
      <c r="P122" s="160"/>
      <c r="Q122" s="162">
        <f ca="1">IF(M122&lt;&gt;"",TODAY()-M122,"")</f>
        <v>31</v>
      </c>
      <c r="R122" s="162" t="str">
        <f>VLOOKUP(VLOOKUP(A122,DB_Locations!A:C,3,FALSE),DB_Appareils!A:F,6,FALSE)</f>
        <v>En location</v>
      </c>
      <c r="S122" s="162" t="str">
        <f>VLOOKUP(A122,DB_Locations!A:I,9,FALSE)</f>
        <v>ACTIF</v>
      </c>
      <c r="T122" s="162"/>
      <c r="U122" s="162"/>
      <c r="V122" s="164" t="str">
        <f ca="1">IF(U122&lt;&gt;"",TODAY()-U122,"")</f>
        <v/>
      </c>
      <c r="W122" s="164"/>
    </row>
    <row r="123" spans="1:23" x14ac:dyDescent="0.25">
      <c r="A123" s="162" t="s">
        <v>1496</v>
      </c>
      <c r="B123" s="162" t="str">
        <f>VLOOKUP(VLOOKUP(A123,DB_Locations!A:B,2,FALSE),DB_Patients!A:B,2,FALSE)</f>
        <v xml:space="preserve">CHAHED JALEL </v>
      </c>
      <c r="C123" s="162" t="str">
        <f>VLOOKUP(VLOOKUP(A123,DB_Locations!A:B,2,FALSE),DB_Patients!A:H,8,FALSE)&amp;IF(VLOOKUP(VLOOKUP(A123,DB_Locations!A:B,2,FALSE),DB_Patients!A:I,9,FALSE)&lt;&gt;""," ("&amp;VLOOKUP(VLOOKUP(A123,DB_Locations!A:B,2,FALSE),DB_Patients!A:I,9,FALSE)&amp;")","")</f>
        <v>97227495 (53523682)</v>
      </c>
      <c r="D123" s="162" t="str">
        <f>VLOOKUP(VLOOKUP(A123,DB_Locations!A:B,2,FALSE),DB_Patients!A:J,10,FALSE)&amp;" ("&amp;VLOOKUP(VLOOKUP(A123,DB_Locations!A:B,2,FALSE),DB_Patients!A:K,11,FALSE)&amp;")"</f>
        <v>21323681 ()</v>
      </c>
      <c r="E123" s="162" t="str">
        <f>VLOOKUP(VLOOKUP(A123,DB_Locations!A:B,2,FALSE),DB_Patients!A:F,6,FALSE)</f>
        <v>HAMMEM SOUSSE</v>
      </c>
      <c r="F123" s="162" t="str">
        <f>VLOOKUP(VLOOKUP(A123,DB_Locations!A:B,2,FALSE),DB_Patients!A:M,13,FALSE)</f>
        <v>CNAM</v>
      </c>
      <c r="G123" s="162" t="str">
        <f>VLOOKUP(VLOOKUP(A123,DB_Locations!A:B,2,FALSE),DB_Patients!A:L,12,FALSE)</f>
        <v>SALSABIL BOUAFIA</v>
      </c>
      <c r="H123" s="162" t="str">
        <f>VLOOKUP(A123,DB_Locations!A:F,6,FALSE)</f>
        <v>KARIM</v>
      </c>
      <c r="I123" s="162">
        <f>VLOOKUP(A123,DB_Locations!A:G,7,FALSE)</f>
        <v>0</v>
      </c>
      <c r="J123" s="162" t="str">
        <f>VLOOKUP(VLOOKUP(A123,DB_Locations!A:C,3,FALSE),DB_Appareils!A:B,2,FALSE)</f>
        <v>VNI</v>
      </c>
      <c r="K123" s="161">
        <f>VLOOKUP(A123,DB_Locations!A:D,4,FALSE)</f>
        <v>45321</v>
      </c>
      <c r="L123" s="161" cm="1">
        <f t="array" ref="L123">IF(COUNTIF(DB_Paiements!B:B,A123)=0,"",LOOKUP(2,1/(DB_Paiements!B:B=A123),DB_Paiements!D:D))</f>
        <v>45811</v>
      </c>
      <c r="M123" s="161" cm="1">
        <f t="array" ref="M123">IF(COUNTIF(DB_Paiements!B:B,A123)=0,"",LOOKUP(2,1/(DB_Paiements!B:B=A123),DB_Paiements!E:E))</f>
        <v>45993</v>
      </c>
      <c r="N123" s="162" t="str" cm="1">
        <f t="array" ref="N123">IF(COUNTIF(DB_Paiements!B:B,A123)=0,"",LOOKUP(2,1/(DB_Paiements!B:B=A123),DB_Paiements!G:G))</f>
        <v>CNAM</v>
      </c>
      <c r="O123" s="162" cm="1">
        <f t="array" ref="O123">IF(COUNTIF(DB_Paiements!B:B,A123)=0,"",LOOKUP(2,1/(DB_Paiements!B:B=A123),DB_Paiements!F:F))</f>
        <v>2580</v>
      </c>
      <c r="P123" s="160"/>
      <c r="Q123" s="162">
        <f ca="1">IF(M123&lt;&gt;"",TODAY()-M123,"")</f>
        <v>-98</v>
      </c>
      <c r="R123" s="162" t="str">
        <f>VLOOKUP(VLOOKUP(A123,DB_Locations!A:C,3,FALSE),DB_Appareils!A:F,6,FALSE)</f>
        <v>En location</v>
      </c>
      <c r="S123" s="162" t="str">
        <f>VLOOKUP(A123,DB_Locations!A:I,9,FALSE)</f>
        <v>ACTIF</v>
      </c>
      <c r="T123" s="162"/>
      <c r="U123" s="162"/>
      <c r="V123" s="162"/>
      <c r="W123" s="164"/>
    </row>
    <row r="124" spans="1:23" x14ac:dyDescent="0.25">
      <c r="A124" s="162" t="s">
        <v>1497</v>
      </c>
      <c r="B124" s="162" t="str">
        <f>VLOOKUP(VLOOKUP(A124,DB_Locations!A:B,2,FALSE),DB_Patients!A:B,2,FALSE)</f>
        <v>FATNASI NAYEB</v>
      </c>
      <c r="C124" s="162" t="str">
        <f>VLOOKUP(VLOOKUP(A124,DB_Locations!A:B,2,FALSE),DB_Patients!A:H,8,FALSE)&amp;IF(VLOOKUP(VLOOKUP(A124,DB_Locations!A:B,2,FALSE),DB_Patients!A:I,9,FALSE)&lt;&gt;""," ("&amp;VLOOKUP(VLOOKUP(A124,DB_Locations!A:B,2,FALSE),DB_Patients!A:I,9,FALSE)&amp;")","")</f>
        <v>94685169 (NAYEB)</v>
      </c>
      <c r="D124" s="162" t="str">
        <f>VLOOKUP(VLOOKUP(A124,DB_Locations!A:B,2,FALSE),DB_Patients!A:J,10,FALSE)&amp;" ("&amp;VLOOKUP(VLOOKUP(A124,DB_Locations!A:B,2,FALSE),DB_Patients!A:K,11,FALSE)&amp;")"</f>
        <v>95 887 343/43089122 (SOUAD)</v>
      </c>
      <c r="E124" s="162" t="str">
        <f>VLOOKUP(VLOOKUP(A124,DB_Locations!A:B,2,FALSE),DB_Patients!A:F,6,FALSE)</f>
        <v>AIN KHAZAZIA</v>
      </c>
      <c r="F124" s="162" t="str">
        <f>VLOOKUP(VLOOKUP(A124,DB_Locations!A:B,2,FALSE),DB_Patients!A:M,13,FALSE)</f>
        <v>CNAM</v>
      </c>
      <c r="G124" s="162" t="str">
        <f>VLOOKUP(VLOOKUP(A124,DB_Locations!A:B,2,FALSE),DB_Patients!A:L,12,FALSE)</f>
        <v xml:space="preserve">ASMA OMRANE </v>
      </c>
      <c r="H124" s="162" t="str">
        <f>VLOOKUP(A124,DB_Locations!A:F,6,FALSE)</f>
        <v>KARIM</v>
      </c>
      <c r="I124" s="162">
        <f>VLOOKUP(A124,DB_Locations!A:G,7,FALSE)</f>
        <v>0</v>
      </c>
      <c r="J124" s="162" t="str">
        <f>VLOOKUP(VLOOKUP(A124,DB_Locations!A:C,3,FALSE),DB_Appareils!A:B,2,FALSE)</f>
        <v xml:space="preserve">VNI </v>
      </c>
      <c r="K124" s="161">
        <f>VLOOKUP(A124,DB_Locations!A:D,4,FALSE)</f>
        <v>45324</v>
      </c>
      <c r="L124" s="161" cm="1">
        <f t="array" ref="L124">IF(COUNTIF(DB_Paiements!B:B,A124)=0,"",LOOKUP(2,1/(DB_Paiements!B:B=A124),DB_Paiements!D:D))</f>
        <v>45679</v>
      </c>
      <c r="M124" s="161" cm="1">
        <f t="array" ref="M124">IF(COUNTIF(DB_Paiements!B:B,A124)=0,"",LOOKUP(2,1/(DB_Paiements!B:B=A124),DB_Paiements!E:E))</f>
        <v>45859</v>
      </c>
      <c r="N124" s="162" t="str" cm="1">
        <f t="array" ref="N124">IF(COUNTIF(DB_Paiements!B:B,A124)=0,"",LOOKUP(2,1/(DB_Paiements!B:B=A124),DB_Paiements!G:G))</f>
        <v>CNAM</v>
      </c>
      <c r="O124" s="162" cm="1">
        <f t="array" ref="O124">IF(COUNTIF(DB_Paiements!B:B,A124)=0,"",LOOKUP(2,1/(DB_Paiements!B:B=A124),DB_Paiements!F:F))</f>
        <v>2580</v>
      </c>
      <c r="P124" s="160"/>
      <c r="Q124" s="162">
        <f ca="1">IF(M124&lt;&gt;"",TODAY()-M124,"")</f>
        <v>36</v>
      </c>
      <c r="R124" s="162" t="str">
        <f>VLOOKUP(VLOOKUP(A124,DB_Locations!A:C,3,FALSE),DB_Appareils!A:F,6,FALSE)</f>
        <v>En location</v>
      </c>
      <c r="S124" s="162" t="str">
        <f>VLOOKUP(A124,DB_Locations!A:I,9,FALSE)</f>
        <v>ACTIF</v>
      </c>
      <c r="T124" s="162" t="s">
        <v>2329</v>
      </c>
      <c r="U124" s="162"/>
      <c r="V124" s="164" t="str">
        <f ca="1">IF(U124&lt;&gt;"",TODAY()-U124,"")</f>
        <v/>
      </c>
      <c r="W124" s="164"/>
    </row>
    <row r="125" spans="1:23" x14ac:dyDescent="0.25">
      <c r="A125" s="162" t="s">
        <v>1498</v>
      </c>
      <c r="B125" s="162" t="str">
        <f>VLOOKUP(VLOOKUP(A125,DB_Locations!A:B,2,FALSE),DB_Patients!A:B,2,FALSE)</f>
        <v>KSSOUMA NOUREDDINE</v>
      </c>
      <c r="C125" s="162" t="str">
        <f>VLOOKUP(VLOOKUP(A125,DB_Locations!A:B,2,FALSE),DB_Patients!A:H,8,FALSE)&amp;IF(VLOOKUP(VLOOKUP(A125,DB_Locations!A:B,2,FALSE),DB_Patients!A:I,9,FALSE)&lt;&gt;""," ("&amp;VLOOKUP(VLOOKUP(A125,DB_Locations!A:B,2,FALSE),DB_Patients!A:I,9,FALSE)&amp;")","")</f>
        <v>29141942 (50382989)</v>
      </c>
      <c r="D125" s="162" t="str">
        <f>VLOOKUP(VLOOKUP(A125,DB_Locations!A:B,2,FALSE),DB_Patients!A:J,10,FALSE)&amp;" ("&amp;VLOOKUP(VLOOKUP(A125,DB_Locations!A:B,2,FALSE),DB_Patients!A:K,11,FALSE)&amp;")"</f>
        <v>22546026 ()</v>
      </c>
      <c r="E125" s="162" t="str">
        <f>VLOOKUP(VLOOKUP(A125,DB_Locations!A:B,2,FALSE),DB_Patients!A:F,6,FALSE)</f>
        <v>EL JEM</v>
      </c>
      <c r="F125" s="162" t="str">
        <f>VLOOKUP(VLOOKUP(A125,DB_Locations!A:B,2,FALSE),DB_Patients!A:M,13,FALSE)</f>
        <v>CNAM</v>
      </c>
      <c r="G125" s="162" t="str">
        <f>VLOOKUP(VLOOKUP(A125,DB_Locations!A:B,2,FALSE),DB_Patients!A:L,12,FALSE)</f>
        <v>WAHID BRAHEM</v>
      </c>
      <c r="H125" s="162" t="str">
        <f>VLOOKUP(A125,DB_Locations!A:F,6,FALSE)</f>
        <v>KARIM</v>
      </c>
      <c r="I125" s="162">
        <f>VLOOKUP(A125,DB_Locations!A:G,7,FALSE)</f>
        <v>0</v>
      </c>
      <c r="J125" s="162" t="str">
        <f>VLOOKUP(VLOOKUP(A125,DB_Locations!A:C,3,FALSE),DB_Appareils!A:B,2,FALSE)</f>
        <v>VNI</v>
      </c>
      <c r="K125" s="161">
        <f>VLOOKUP(A125,DB_Locations!A:D,4,FALSE)</f>
        <v>45325</v>
      </c>
      <c r="L125" s="161" cm="1">
        <f t="array" ref="L125">IF(COUNTIF(DB_Paiements!B:B,A125)=0,"",LOOKUP(2,1/(DB_Paiements!B:B=A125),DB_Paiements!D:D))</f>
        <v>45779</v>
      </c>
      <c r="M125" s="161" cm="1">
        <f t="array" ref="M125">IF(COUNTIF(DB_Paiements!B:B,A125)=0,"",LOOKUP(2,1/(DB_Paiements!B:B=A125),DB_Paiements!E:E))</f>
        <v>45962</v>
      </c>
      <c r="N125" s="162" t="str" cm="1">
        <f t="array" ref="N125">IF(COUNTIF(DB_Paiements!B:B,A125)=0,"",LOOKUP(2,1/(DB_Paiements!B:B=A125),DB_Paiements!G:G))</f>
        <v>CNAM</v>
      </c>
      <c r="O125" s="162" cm="1">
        <f t="array" ref="O125">IF(COUNTIF(DB_Paiements!B:B,A125)=0,"",LOOKUP(2,1/(DB_Paiements!B:B=A125),DB_Paiements!F:F))</f>
        <v>2580</v>
      </c>
      <c r="P125" s="160"/>
      <c r="Q125" s="162">
        <f ca="1">IF(M125&lt;&gt;"",TODAY()-M125,"")</f>
        <v>-67</v>
      </c>
      <c r="R125" s="162" t="str">
        <f>VLOOKUP(VLOOKUP(A125,DB_Locations!A:C,3,FALSE),DB_Appareils!A:F,6,FALSE)</f>
        <v>En location</v>
      </c>
      <c r="S125" s="162" t="str">
        <f>VLOOKUP(A125,DB_Locations!A:I,9,FALSE)</f>
        <v>ACTIF</v>
      </c>
      <c r="T125" s="162"/>
      <c r="U125" s="162"/>
      <c r="V125" s="162"/>
      <c r="W125" s="164"/>
    </row>
    <row r="126" spans="1:23" x14ac:dyDescent="0.25">
      <c r="A126" s="162" t="s">
        <v>1499</v>
      </c>
      <c r="B126" s="162" t="str">
        <f>VLOOKUP(VLOOKUP(A126,DB_Locations!A:B,2,FALSE),DB_Patients!A:B,2,FALSE)</f>
        <v xml:space="preserve">BEN HAJ ALI JAMIL </v>
      </c>
      <c r="C126" s="162" t="str">
        <f>VLOOKUP(VLOOKUP(A126,DB_Locations!A:B,2,FALSE),DB_Patients!A:H,8,FALSE)&amp;IF(VLOOKUP(VLOOKUP(A126,DB_Locations!A:B,2,FALSE),DB_Patients!A:I,9,FALSE)&lt;&gt;""," ("&amp;VLOOKUP(VLOOKUP(A126,DB_Locations!A:B,2,FALSE),DB_Patients!A:I,9,FALSE)&amp;")","")</f>
        <v>28996023 (RIDHA)</v>
      </c>
      <c r="D126" s="162" t="str">
        <f>VLOOKUP(VLOOKUP(A126,DB_Locations!A:B,2,FALSE),DB_Patients!A:J,10,FALSE)&amp;" ("&amp;VLOOKUP(VLOOKUP(A126,DB_Locations!A:B,2,FALSE),DB_Patients!A:K,11,FALSE)&amp;")"</f>
        <v>52208018 (SON FILS)</v>
      </c>
      <c r="E126" s="162" t="str">
        <f>VLOOKUP(VLOOKUP(A126,DB_Locations!A:B,2,FALSE),DB_Patients!A:F,6,FALSE)</f>
        <v>MESSADINE</v>
      </c>
      <c r="F126" s="162" t="str">
        <f>VLOOKUP(VLOOKUP(A126,DB_Locations!A:B,2,FALSE),DB_Patients!A:M,13,FALSE)</f>
        <v>CNAM</v>
      </c>
      <c r="G126" s="162" t="str">
        <f>VLOOKUP(VLOOKUP(A126,DB_Locations!A:B,2,FALSE),DB_Patients!A:L,12,FALSE)</f>
        <v>AMENI MOKNI</v>
      </c>
      <c r="H126" s="162" t="str">
        <f>VLOOKUP(A126,DB_Locations!A:F,6,FALSE)</f>
        <v>BILEL BOUHLEL</v>
      </c>
      <c r="I126" s="162">
        <f>VLOOKUP(A126,DB_Locations!A:G,7,FALSE)</f>
        <v>0</v>
      </c>
      <c r="J126" s="162" t="str">
        <f>VLOOKUP(VLOOKUP(A126,DB_Locations!A:C,3,FALSE),DB_Appareils!A:B,2,FALSE)</f>
        <v>VNI</v>
      </c>
      <c r="K126" s="161">
        <f>VLOOKUP(A126,DB_Locations!A:D,4,FALSE)</f>
        <v>45327</v>
      </c>
      <c r="L126" s="161" cm="1">
        <f t="array" ref="L126">IF(COUNTIF(DB_Paiements!B:B,A126)=0,"",LOOKUP(2,1/(DB_Paiements!B:B=A126),DB_Paiements!D:D))</f>
        <v>45782</v>
      </c>
      <c r="M126" s="161" cm="1">
        <f t="array" ref="M126">IF(COUNTIF(DB_Paiements!B:B,A126)=0,"",LOOKUP(2,1/(DB_Paiements!B:B=A126),DB_Paiements!E:E))</f>
        <v>45965</v>
      </c>
      <c r="N126" s="162" t="str" cm="1">
        <f t="array" ref="N126">IF(COUNTIF(DB_Paiements!B:B,A126)=0,"",LOOKUP(2,1/(DB_Paiements!B:B=A126),DB_Paiements!G:G))</f>
        <v>CNAM</v>
      </c>
      <c r="O126" s="162" cm="1">
        <f t="array" ref="O126">IF(COUNTIF(DB_Paiements!B:B,A126)=0,"",LOOKUP(2,1/(DB_Paiements!B:B=A126),DB_Paiements!F:F))</f>
        <v>2580</v>
      </c>
      <c r="P126" s="160"/>
      <c r="Q126" s="162">
        <f ca="1">IF(M126&lt;&gt;"",TODAY()-M126,"")</f>
        <v>-70</v>
      </c>
      <c r="R126" s="162" t="str">
        <f>VLOOKUP(VLOOKUP(A126,DB_Locations!A:C,3,FALSE),DB_Appareils!A:F,6,FALSE)</f>
        <v>En location</v>
      </c>
      <c r="S126" s="162" t="str">
        <f>VLOOKUP(A126,DB_Locations!A:I,9,FALSE)</f>
        <v>ACTIF</v>
      </c>
      <c r="T126" s="162"/>
      <c r="U126" s="162"/>
      <c r="V126" s="162"/>
      <c r="W126" s="164"/>
    </row>
    <row r="127" spans="1:23" x14ac:dyDescent="0.25">
      <c r="A127" s="162" t="s">
        <v>1500</v>
      </c>
      <c r="B127" s="162" t="str">
        <f>VLOOKUP(VLOOKUP(A127,DB_Locations!A:B,2,FALSE),DB_Patients!A:B,2,FALSE)</f>
        <v>ABDALLAH FEKIH HABIB</v>
      </c>
      <c r="C127" s="162" t="str">
        <f>VLOOKUP(VLOOKUP(A127,DB_Locations!A:B,2,FALSE),DB_Patients!A:H,8,FALSE)&amp;IF(VLOOKUP(VLOOKUP(A127,DB_Locations!A:B,2,FALSE),DB_Patients!A:I,9,FALSE)&lt;&gt;""," ("&amp;VLOOKUP(VLOOKUP(A127,DB_Locations!A:B,2,FALSE),DB_Patients!A:I,9,FALSE)&amp;")","")</f>
        <v>20831343</v>
      </c>
      <c r="D127" s="162" t="str">
        <f>VLOOKUP(VLOOKUP(A127,DB_Locations!A:B,2,FALSE),DB_Patients!A:J,10,FALSE)&amp;" ("&amp;VLOOKUP(VLOOKUP(A127,DB_Locations!A:B,2,FALSE),DB_Patients!A:K,11,FALSE)&amp;")"</f>
        <v>24096513 ()</v>
      </c>
      <c r="E127" s="162" t="str">
        <f>VLOOKUP(VLOOKUP(A127,DB_Locations!A:B,2,FALSE),DB_Patients!A:F,6,FALSE)</f>
        <v>CHEBBA</v>
      </c>
      <c r="F127" s="162" t="str">
        <f>VLOOKUP(VLOOKUP(A127,DB_Locations!A:B,2,FALSE),DB_Patients!A:M,13,FALSE)</f>
        <v>CNAM</v>
      </c>
      <c r="G127" s="162" t="str">
        <f>VLOOKUP(VLOOKUP(A127,DB_Locations!A:B,2,FALSE),DB_Patients!A:L,12,FALSE)</f>
        <v>WAHID BRAHEM</v>
      </c>
      <c r="H127" s="162" t="str">
        <f>VLOOKUP(A127,DB_Locations!A:F,6,FALSE)</f>
        <v>KARIM</v>
      </c>
      <c r="I127" s="162">
        <f>VLOOKUP(A127,DB_Locations!A:G,7,FALSE)</f>
        <v>0</v>
      </c>
      <c r="J127" s="162" t="str">
        <f>VLOOKUP(VLOOKUP(A127,DB_Locations!A:C,3,FALSE),DB_Appareils!A:B,2,FALSE)</f>
        <v>VNI</v>
      </c>
      <c r="K127" s="161">
        <f>VLOOKUP(A127,DB_Locations!A:D,4,FALSE)</f>
        <v>45349</v>
      </c>
      <c r="L127" s="161" cm="1">
        <f t="array" ref="L127">IF(COUNTIF(DB_Paiements!B:B,A127)=0,"",LOOKUP(2,1/(DB_Paiements!B:B=A127),DB_Paiements!D:D))</f>
        <v>45691</v>
      </c>
      <c r="M127" s="161" cm="1">
        <f t="array" ref="M127">IF(COUNTIF(DB_Paiements!B:B,A127)=0,"",LOOKUP(2,1/(DB_Paiements!B:B=A127),DB_Paiements!E:E))</f>
        <v>45871</v>
      </c>
      <c r="N127" s="162" t="str" cm="1">
        <f t="array" ref="N127">IF(COUNTIF(DB_Paiements!B:B,A127)=0,"",LOOKUP(2,1/(DB_Paiements!B:B=A127),DB_Paiements!G:G))</f>
        <v>CNAM</v>
      </c>
      <c r="O127" s="162" cm="1">
        <f t="array" ref="O127">IF(COUNTIF(DB_Paiements!B:B,A127)=0,"",LOOKUP(2,1/(DB_Paiements!B:B=A127),DB_Paiements!F:F))</f>
        <v>2580</v>
      </c>
      <c r="P127" s="160"/>
      <c r="Q127" s="162">
        <f ca="1">IF(M127&lt;&gt;"",TODAY()-M127,"")</f>
        <v>24</v>
      </c>
      <c r="R127" s="162" t="str">
        <f>VLOOKUP(VLOOKUP(A127,DB_Locations!A:C,3,FALSE),DB_Appareils!A:F,6,FALSE)</f>
        <v xml:space="preserve">En location </v>
      </c>
      <c r="S127" s="162" t="str">
        <f>VLOOKUP(A127,DB_Locations!A:I,9,FALSE)</f>
        <v>ACTIF</v>
      </c>
      <c r="T127" s="162"/>
      <c r="U127" s="162"/>
      <c r="V127" s="164" t="str">
        <f ca="1">IF(U127&lt;&gt;"",TODAY()-U127,"")</f>
        <v/>
      </c>
      <c r="W127" s="164" t="s">
        <v>2438</v>
      </c>
    </row>
    <row r="128" spans="1:23" x14ac:dyDescent="0.25">
      <c r="A128" s="162" t="s">
        <v>1255</v>
      </c>
      <c r="B128" s="162" t="str">
        <f>VLOOKUP(VLOOKUP(A128,DB_Locations!A:B,2,FALSE),DB_Patients!A:B,2,FALSE)</f>
        <v>AYADI NAIMA</v>
      </c>
      <c r="C128" s="162" t="str">
        <f>VLOOKUP(VLOOKUP(A128,DB_Locations!A:B,2,FALSE),DB_Patients!A:H,8,FALSE)&amp;IF(VLOOKUP(VLOOKUP(A128,DB_Locations!A:B,2,FALSE),DB_Patients!A:I,9,FALSE)&lt;&gt;""," ("&amp;VLOOKUP(VLOOKUP(A128,DB_Locations!A:B,2,FALSE),DB_Patients!A:I,9,FALSE)&amp;")","")</f>
        <v>96204203</v>
      </c>
      <c r="D128" s="162" t="str">
        <f>VLOOKUP(VLOOKUP(A128,DB_Locations!A:B,2,FALSE),DB_Patients!A:J,10,FALSE)&amp;" ("&amp;VLOOKUP(VLOOKUP(A128,DB_Locations!A:B,2,FALSE),DB_Patients!A:K,11,FALSE)&amp;")"</f>
        <v>24801236 ()</v>
      </c>
      <c r="E128" s="162" t="str">
        <f>VLOOKUP(VLOOKUP(A128,DB_Locations!A:B,2,FALSE),DB_Patients!A:F,6,FALSE)</f>
        <v>BOUHSINA</v>
      </c>
      <c r="F128" s="162" t="str">
        <f>VLOOKUP(VLOOKUP(A128,DB_Locations!A:B,2,FALSE),DB_Patients!A:M,13,FALSE)</f>
        <v>CNAM</v>
      </c>
      <c r="G128" s="162" t="str">
        <f>VLOOKUP(VLOOKUP(A128,DB_Locations!A:B,2,FALSE),DB_Patients!A:L,12,FALSE)</f>
        <v>GARGOURI IMEN</v>
      </c>
      <c r="H128" s="162" t="str">
        <f>VLOOKUP(A128,DB_Locations!A:F,6,FALSE)</f>
        <v>BILEL BOUHLEL</v>
      </c>
      <c r="I128" s="162">
        <f>VLOOKUP(A128,DB_Locations!A:G,7,FALSE)</f>
        <v>0</v>
      </c>
      <c r="J128" s="162" t="str">
        <f>VLOOKUP(VLOOKUP(A128,DB_Locations!A:C,3,FALSE),DB_Appareils!A:B,2,FALSE)</f>
        <v>VNI</v>
      </c>
      <c r="K128" s="161">
        <f>VLOOKUP(A128,DB_Locations!A:D,4,FALSE)</f>
        <v>44217</v>
      </c>
      <c r="L128" s="161" cm="1">
        <f t="array" ref="L128">IF(COUNTIF(DB_Paiements!B:B,A128)=0,"",LOOKUP(2,1/(DB_Paiements!B:B=A128),DB_Paiements!D:D))</f>
        <v>45705</v>
      </c>
      <c r="M128" s="161" cm="1">
        <f t="array" ref="M128">IF(COUNTIF(DB_Paiements!B:B,A128)=0,"",LOOKUP(2,1/(DB_Paiements!B:B=A128),DB_Paiements!E:E))</f>
        <v>45885</v>
      </c>
      <c r="N128" s="162" t="str" cm="1">
        <f t="array" ref="N128">IF(COUNTIF(DB_Paiements!B:B,A128)=0,"",LOOKUP(2,1/(DB_Paiements!B:B=A128),DB_Paiements!G:G))</f>
        <v>CNAM</v>
      </c>
      <c r="O128" s="162" cm="1">
        <f t="array" ref="O128">IF(COUNTIF(DB_Paiements!B:B,A128)=0,"",LOOKUP(2,1/(DB_Paiements!B:B=A128),DB_Paiements!F:F))</f>
        <v>2580</v>
      </c>
      <c r="P128" s="160">
        <v>45897</v>
      </c>
      <c r="Q128" s="162">
        <f ca="1">IF(M128&lt;&gt;"",TODAY()-M128,"")</f>
        <v>10</v>
      </c>
      <c r="R128" s="162" t="str">
        <f>VLOOKUP(VLOOKUP(A128,DB_Locations!A:C,3,FALSE),DB_Appareils!A:F,6,FALSE)</f>
        <v xml:space="preserve">En location </v>
      </c>
      <c r="S128" s="162" t="str">
        <f>VLOOKUP(A128,DB_Locations!A:I,9,FALSE)</f>
        <v>Actif</v>
      </c>
      <c r="T128" s="162" t="s">
        <v>2346</v>
      </c>
      <c r="U128" s="162"/>
      <c r="V128" s="164" t="str">
        <f ca="1">IF(U128&lt;&gt;"",TODAY()-U128,"")</f>
        <v/>
      </c>
      <c r="W128" s="164" t="s">
        <v>2435</v>
      </c>
    </row>
    <row r="129" spans="1:23" x14ac:dyDescent="0.25">
      <c r="A129" s="162" t="s">
        <v>1439</v>
      </c>
      <c r="B129" s="162" t="str">
        <f>VLOOKUP(VLOOKUP(A129,DB_Locations!A:B,2,FALSE),DB_Patients!A:B,2,FALSE)</f>
        <v>AISSAOUI MOEZ</v>
      </c>
      <c r="C129" s="162" t="str">
        <f>VLOOKUP(VLOOKUP(A129,DB_Locations!A:B,2,FALSE),DB_Patients!A:H,8,FALSE)&amp;IF(VLOOKUP(VLOOKUP(A129,DB_Locations!A:B,2,FALSE),DB_Patients!A:I,9,FALSE)&lt;&gt;""," ("&amp;VLOOKUP(VLOOKUP(A129,DB_Locations!A:B,2,FALSE),DB_Patients!A:I,9,FALSE)&amp;")","")</f>
        <v>92398304 (SA SOUEUR)</v>
      </c>
      <c r="D129" s="162" t="str">
        <f>VLOOKUP(VLOOKUP(A129,DB_Locations!A:B,2,FALSE),DB_Patients!A:J,10,FALSE)&amp;" ("&amp;VLOOKUP(VLOOKUP(A129,DB_Locations!A:B,2,FALSE),DB_Patients!A:K,11,FALSE)&amp;")"</f>
        <v>55206195 ()</v>
      </c>
      <c r="E129" s="162" t="str">
        <f>VLOOKUP(VLOOKUP(A129,DB_Locations!A:B,2,FALSE),DB_Patients!A:F,6,FALSE)</f>
        <v>ZAOUIA SOUSSE</v>
      </c>
      <c r="F129" s="162" t="str">
        <f>VLOOKUP(VLOOKUP(A129,DB_Locations!A:B,2,FALSE),DB_Patients!A:M,13,FALSE)</f>
        <v>ESPECE</v>
      </c>
      <c r="G129" s="162" t="str">
        <f>VLOOKUP(VLOOKUP(A129,DB_Locations!A:B,2,FALSE),DB_Patients!A:L,12,FALSE)</f>
        <v>GARGOURI IMEN</v>
      </c>
      <c r="H129" s="162" t="str">
        <f>VLOOKUP(A129,DB_Locations!A:F,6,FALSE)</f>
        <v>KARIM</v>
      </c>
      <c r="I129" s="162">
        <f>VLOOKUP(A129,DB_Locations!A:G,7,FALSE)</f>
        <v>0</v>
      </c>
      <c r="J129" s="162" t="str">
        <f>VLOOKUP(VLOOKUP(A129,DB_Locations!A:C,3,FALSE),DB_Appareils!A:B,2,FALSE)</f>
        <v>CONCENTRATEUR O2</v>
      </c>
      <c r="K129" s="161">
        <f>VLOOKUP(A129,DB_Locations!A:D,4,FALSE)</f>
        <v>45715</v>
      </c>
      <c r="L129" s="161" cm="1">
        <f t="array" ref="L129">IF(COUNTIF(DB_Paiements!B:B,A129)=0,"",LOOKUP(2,1/(DB_Paiements!B:B=A129),DB_Paiements!D:D))</f>
        <v>45865</v>
      </c>
      <c r="M129" s="161" cm="1">
        <f t="array" ref="M129">IF(COUNTIF(DB_Paiements!B:B,A129)=0,"",LOOKUP(2,1/(DB_Paiements!B:B=A129),DB_Paiements!E:E))</f>
        <v>45896</v>
      </c>
      <c r="N129" s="162" t="str" cm="1">
        <f t="array" ref="N129">IF(COUNTIF(DB_Paiements!B:B,A129)=0,"",LOOKUP(2,1/(DB_Paiements!B:B=A129),DB_Paiements!G:G))</f>
        <v>ESPECE</v>
      </c>
      <c r="O129" s="162" cm="1">
        <f t="array" ref="O129">IF(COUNTIF(DB_Paiements!B:B,A129)=0,"",LOOKUP(2,1/(DB_Paiements!B:B=A129),DB_Paiements!F:F))</f>
        <v>190</v>
      </c>
      <c r="P129" s="160"/>
      <c r="Q129" s="162">
        <f ca="1">IF(M129&lt;&gt;"",TODAY()-M129,"")</f>
        <v>-1</v>
      </c>
      <c r="R129" s="162" t="str">
        <f>VLOOKUP(VLOOKUP(A129,DB_Locations!A:C,3,FALSE),DB_Appareils!A:F,6,FALSE)</f>
        <v>En location</v>
      </c>
      <c r="S129" s="162" t="str">
        <f>VLOOKUP(A129,DB_Locations!A:I,9,FALSE)</f>
        <v>Actif</v>
      </c>
      <c r="T129" s="162"/>
      <c r="U129" s="162"/>
      <c r="V129" s="164" t="str">
        <f ca="1">IF(U129&lt;&gt;"",TODAY()-U129,"")</f>
        <v/>
      </c>
      <c r="W129" s="164"/>
    </row>
    <row r="130" spans="1:23" x14ac:dyDescent="0.25">
      <c r="A130" s="162" t="s">
        <v>1467</v>
      </c>
      <c r="B130" s="162" t="str">
        <f>VLOOKUP(VLOOKUP(A130,DB_Locations!A:B,2,FALSE),DB_Patients!A:B,2,FALSE)</f>
        <v>ADHIMI SALHA</v>
      </c>
      <c r="C130" s="162" t="str">
        <f>VLOOKUP(VLOOKUP(A130,DB_Locations!A:B,2,FALSE),DB_Patients!A:H,8,FALSE)&amp;IF(VLOOKUP(VLOOKUP(A130,DB_Locations!A:B,2,FALSE),DB_Patients!A:I,9,FALSE)&lt;&gt;""," ("&amp;VLOOKUP(VLOOKUP(A130,DB_Locations!A:B,2,FALSE),DB_Patients!A:I,9,FALSE)&amp;")","")</f>
        <v>58 143 286 SA FILLE (58145274)</v>
      </c>
      <c r="D130" s="162" t="str">
        <f>VLOOKUP(VLOOKUP(A130,DB_Locations!A:B,2,FALSE),DB_Patients!A:J,10,FALSE)&amp;" ("&amp;VLOOKUP(VLOOKUP(A130,DB_Locations!A:B,2,FALSE),DB_Patients!A:K,11,FALSE)&amp;")"</f>
        <v>58798955 (JALILA)</v>
      </c>
      <c r="E130" s="162" t="str">
        <f>VLOOKUP(VLOOKUP(A130,DB_Locations!A:B,2,FALSE),DB_Patients!A:F,6,FALSE)</f>
        <v>CITE EZZOUHOUR</v>
      </c>
      <c r="F130" s="162" t="str">
        <f>VLOOKUP(VLOOKUP(A130,DB_Locations!A:B,2,FALSE),DB_Patients!A:M,13,FALSE)</f>
        <v>CNAM</v>
      </c>
      <c r="G130" s="162" t="str">
        <f>VLOOKUP(VLOOKUP(A130,DB_Locations!A:B,2,FALSE),DB_Patients!A:L,12,FALSE)</f>
        <v>GARGOURI IMEN</v>
      </c>
      <c r="H130" s="162" t="str">
        <f>VLOOKUP(A130,DB_Locations!A:F,6,FALSE)</f>
        <v>BILEL BOUHLEL</v>
      </c>
      <c r="I130" s="162">
        <f>VLOOKUP(A130,DB_Locations!A:G,7,FALSE)</f>
        <v>0</v>
      </c>
      <c r="J130" s="162" t="str">
        <f>VLOOKUP(VLOOKUP(A130,DB_Locations!A:C,3,FALSE),DB_Appareils!A:B,2,FALSE)</f>
        <v>CONCENTRATEUR O2</v>
      </c>
      <c r="K130" s="161">
        <f>VLOOKUP(A130,DB_Locations!A:D,4,FALSE)</f>
        <v>45852</v>
      </c>
      <c r="L130" s="161" cm="1">
        <f t="array" ref="L130">IF(COUNTIF(DB_Paiements!B:B,A130)=0,"",LOOKUP(2,1/(DB_Paiements!B:B=A130),DB_Paiements!D:D))</f>
        <v>45852</v>
      </c>
      <c r="M130" s="161" cm="1">
        <f t="array" ref="M130">IF(COUNTIF(DB_Paiements!B:B,A130)=0,"",LOOKUP(2,1/(DB_Paiements!B:B=A130),DB_Paiements!E:E))</f>
        <v>45943</v>
      </c>
      <c r="N130" s="162" t="str" cm="1">
        <f t="array" ref="N130">IF(COUNTIF(DB_Paiements!B:B,A130)=0,"",LOOKUP(2,1/(DB_Paiements!B:B=A130),DB_Paiements!G:G))</f>
        <v>CNAM</v>
      </c>
      <c r="O130" s="162" cm="1">
        <f t="array" ref="O130">IF(COUNTIF(DB_Paiements!B:B,A130)=0,"",LOOKUP(2,1/(DB_Paiements!B:B=A130),DB_Paiements!F:F))</f>
        <v>570</v>
      </c>
      <c r="P130" s="160"/>
      <c r="Q130" s="162">
        <f ca="1">IF(M130&lt;&gt;"",TODAY()-M130,"")</f>
        <v>-48</v>
      </c>
      <c r="R130" s="162" t="str">
        <f>VLOOKUP(VLOOKUP(A130,DB_Locations!A:C,3,FALSE),DB_Appareils!A:F,6,FALSE)</f>
        <v xml:space="preserve">En location </v>
      </c>
      <c r="S130" s="162" t="str">
        <f>VLOOKUP(A130,DB_Locations!A:I,9,FALSE)</f>
        <v>Actif</v>
      </c>
      <c r="T130" s="162"/>
      <c r="U130" s="162"/>
      <c r="V130" s="162"/>
      <c r="W130" s="164"/>
    </row>
    <row r="131" spans="1:23" x14ac:dyDescent="0.25">
      <c r="A131" s="162" t="s">
        <v>1504</v>
      </c>
      <c r="B131" s="162" t="str">
        <f>VLOOKUP(VLOOKUP(A131,DB_Locations!A:B,2,FALSE),DB_Patients!A:B,2,FALSE)</f>
        <v>AOUICHAOUI SALAH</v>
      </c>
      <c r="C131" s="162" t="str">
        <f>VLOOKUP(VLOOKUP(A131,DB_Locations!A:B,2,FALSE),DB_Patients!A:H,8,FALSE)&amp;IF(VLOOKUP(VLOOKUP(A131,DB_Locations!A:B,2,FALSE),DB_Patients!A:I,9,FALSE)&lt;&gt;""," ("&amp;VLOOKUP(VLOOKUP(A131,DB_Locations!A:B,2,FALSE),DB_Patients!A:I,9,FALSE)&amp;")","")</f>
        <v>20345893 (SAHBI SON  FILS)</v>
      </c>
      <c r="D131" s="162" t="str">
        <f>VLOOKUP(VLOOKUP(A131,DB_Locations!A:B,2,FALSE),DB_Patients!A:J,10,FALSE)&amp;" ("&amp;VLOOKUP(VLOOKUP(A131,DB_Locations!A:B,2,FALSE),DB_Patients!A:K,11,FALSE)&amp;")"</f>
        <v>98309696 (SA FEMME)</v>
      </c>
      <c r="E131" s="162" t="str">
        <f>VLOOKUP(VLOOKUP(A131,DB_Locations!A:B,2,FALSE),DB_Patients!A:F,6,FALSE)</f>
        <v>DAR CHAABEN</v>
      </c>
      <c r="F131" s="162" t="str">
        <f>VLOOKUP(VLOOKUP(A131,DB_Locations!A:B,2,FALSE),DB_Patients!A:M,13,FALSE)</f>
        <v>CNAM</v>
      </c>
      <c r="G131" s="162" t="str">
        <f>VLOOKUP(VLOOKUP(A131,DB_Locations!A:B,2,FALSE),DB_Patients!A:L,12,FALSE)</f>
        <v>IMEN ISMAIL</v>
      </c>
      <c r="H131" s="162" t="str">
        <f>VLOOKUP(A131,DB_Locations!A:F,6,FALSE)</f>
        <v>BILEL BOUHLEL</v>
      </c>
      <c r="I131" s="162">
        <f>VLOOKUP(A131,DB_Locations!A:G,7,FALSE)</f>
        <v>0</v>
      </c>
      <c r="J131" s="162" t="str">
        <f>VLOOKUP(VLOOKUP(A131,DB_Locations!A:C,3,FALSE),DB_Appareils!A:B,2,FALSE)</f>
        <v>CONCENTRATEUR O2</v>
      </c>
      <c r="K131" s="161">
        <f>VLOOKUP(A131,DB_Locations!A:D,4,FALSE)</f>
        <v>45878</v>
      </c>
      <c r="L131" s="161" cm="1">
        <f t="array" ref="L131">IF(COUNTIF(DB_Paiements!B:B,A131)=0,"",LOOKUP(2,1/(DB_Paiements!B:B=A131),DB_Paiements!D:D))</f>
        <v>45878</v>
      </c>
      <c r="M131" s="161" cm="1">
        <f t="array" ref="M131">IF(COUNTIF(DB_Paiements!B:B,A131)=0,"",LOOKUP(2,1/(DB_Paiements!B:B=A131),DB_Paiements!E:E))</f>
        <v>45908</v>
      </c>
      <c r="N131" s="162" t="str" cm="1">
        <f t="array" ref="N131">IF(COUNTIF(DB_Paiements!B:B,A131)=0,"",LOOKUP(2,1/(DB_Paiements!B:B=A131),DB_Paiements!G:G))</f>
        <v>ESPECE</v>
      </c>
      <c r="O131" s="162" cm="1">
        <f t="array" ref="O131">IF(COUNTIF(DB_Paiements!B:B,A131)=0,"",LOOKUP(2,1/(DB_Paiements!B:B=A131),DB_Paiements!F:F))</f>
        <v>250</v>
      </c>
      <c r="P131" s="160"/>
      <c r="Q131" s="162">
        <f ca="1">IF(M131&lt;&gt;"",TODAY()-M131,"")</f>
        <v>-13</v>
      </c>
      <c r="R131" s="162" t="str">
        <f>VLOOKUP(VLOOKUP(A131,DB_Locations!A:C,3,FALSE),DB_Appareils!A:F,6,FALSE)</f>
        <v xml:space="preserve">En location </v>
      </c>
      <c r="S131" s="162" t="str">
        <f>VLOOKUP(A131,DB_Locations!A:I,9,FALSE)</f>
        <v>ACTIF</v>
      </c>
      <c r="T131" s="162"/>
      <c r="U131" s="162"/>
      <c r="V131" s="162"/>
      <c r="W131" s="164"/>
    </row>
    <row r="132" spans="1:23" x14ac:dyDescent="0.25">
      <c r="A132" s="162" t="s">
        <v>1505</v>
      </c>
      <c r="B132" s="162" t="str">
        <f>VLOOKUP(VLOOKUP(A132,DB_Locations!A:B,2,FALSE),DB_Patients!A:B,2,FALSE)</f>
        <v>AOUICHAOUI SALAH</v>
      </c>
      <c r="C132" s="162" t="str">
        <f>VLOOKUP(VLOOKUP(A132,DB_Locations!A:B,2,FALSE),DB_Patients!A:H,8,FALSE)&amp;IF(VLOOKUP(VLOOKUP(A132,DB_Locations!A:B,2,FALSE),DB_Patients!A:I,9,FALSE)&lt;&gt;""," ("&amp;VLOOKUP(VLOOKUP(A132,DB_Locations!A:B,2,FALSE),DB_Patients!A:I,9,FALSE)&amp;")","")</f>
        <v>20345893 (SAHBI SON  FILS)</v>
      </c>
      <c r="D132" s="162" t="str">
        <f>VLOOKUP(VLOOKUP(A132,DB_Locations!A:B,2,FALSE),DB_Patients!A:J,10,FALSE)&amp;" ("&amp;VLOOKUP(VLOOKUP(A132,DB_Locations!A:B,2,FALSE),DB_Patients!A:K,11,FALSE)&amp;")"</f>
        <v>98309696 (SA FEMME)</v>
      </c>
      <c r="E132" s="162" t="str">
        <f>VLOOKUP(VLOOKUP(A132,DB_Locations!A:B,2,FALSE),DB_Patients!A:F,6,FALSE)</f>
        <v>DAR CHAABEN</v>
      </c>
      <c r="F132" s="162" t="str">
        <f>VLOOKUP(VLOOKUP(A132,DB_Locations!A:B,2,FALSE),DB_Patients!A:M,13,FALSE)</f>
        <v>CNAM</v>
      </c>
      <c r="G132" s="162" t="str">
        <f>VLOOKUP(VLOOKUP(A132,DB_Locations!A:B,2,FALSE),DB_Patients!A:L,12,FALSE)</f>
        <v>IMEN ISMAIL</v>
      </c>
      <c r="H132" s="162" t="str">
        <f>VLOOKUP(A132,DB_Locations!A:F,6,FALSE)</f>
        <v>BILEL BOUHLEL</v>
      </c>
      <c r="I132" s="162">
        <f>VLOOKUP(A132,DB_Locations!A:G,7,FALSE)</f>
        <v>0</v>
      </c>
      <c r="J132" s="162" t="str">
        <f>VLOOKUP(VLOOKUP(A132,DB_Locations!A:C,3,FALSE),DB_Appareils!A:B,2,FALSE)</f>
        <v>VNI</v>
      </c>
      <c r="K132" s="161">
        <f>VLOOKUP(A132,DB_Locations!A:D,4,FALSE)</f>
        <v>45520</v>
      </c>
      <c r="L132" s="161" cm="1">
        <f t="array" ref="L132">IF(COUNTIF(DB_Paiements!B:B,A132)=0,"",LOOKUP(2,1/(DB_Paiements!B:B=A132),DB_Paiements!D:D))</f>
        <v>45800</v>
      </c>
      <c r="M132" s="161" cm="1">
        <f t="array" ref="M132">IF(COUNTIF(DB_Paiements!B:B,A132)=0,"",LOOKUP(2,1/(DB_Paiements!B:B=A132),DB_Paiements!E:E))</f>
        <v>45983</v>
      </c>
      <c r="N132" s="162" t="str" cm="1">
        <f t="array" ref="N132">IF(COUNTIF(DB_Paiements!B:B,A132)=0,"",LOOKUP(2,1/(DB_Paiements!B:B=A132),DB_Paiements!G:G))</f>
        <v>CNAM</v>
      </c>
      <c r="O132" s="162" cm="1">
        <f t="array" ref="O132">IF(COUNTIF(DB_Paiements!B:B,A132)=0,"",LOOKUP(2,1/(DB_Paiements!B:B=A132),DB_Paiements!F:F))</f>
        <v>2580</v>
      </c>
      <c r="P132" s="160"/>
      <c r="Q132" s="162">
        <f ca="1">IF(M132&lt;&gt;"",TODAY()-M132,"")</f>
        <v>-88</v>
      </c>
      <c r="R132" s="162" t="str">
        <f>VLOOKUP(VLOOKUP(A132,DB_Locations!A:C,3,FALSE),DB_Appareils!A:F,6,FALSE)</f>
        <v>En location</v>
      </c>
      <c r="S132" s="162" t="str">
        <f>VLOOKUP(A132,DB_Locations!A:I,9,FALSE)</f>
        <v>ACTIF</v>
      </c>
      <c r="T132" s="162"/>
      <c r="U132" s="162"/>
      <c r="V132" s="162"/>
      <c r="W132" s="164"/>
    </row>
    <row r="133" spans="1:23" x14ac:dyDescent="0.25">
      <c r="A133" s="162" t="s">
        <v>1506</v>
      </c>
      <c r="B133" s="162" t="str">
        <f>VLOOKUP(VLOOKUP(A133,DB_Locations!A:B,2,FALSE),DB_Patients!A:B,2,FALSE)</f>
        <v>HAMZA VVE TOUMI OMEZZINE</v>
      </c>
      <c r="C133" s="162" t="str">
        <f>VLOOKUP(VLOOKUP(A133,DB_Locations!A:B,2,FALSE),DB_Patients!A:H,8,FALSE)&amp;IF(VLOOKUP(VLOOKUP(A133,DB_Locations!A:B,2,FALSE),DB_Patients!A:I,9,FALSE)&lt;&gt;""," ("&amp;VLOOKUP(VLOOKUP(A133,DB_Locations!A:B,2,FALSE),DB_Patients!A:I,9,FALSE)&amp;")","")</f>
        <v>28749304 (SALWA)</v>
      </c>
      <c r="D133" s="162" t="str">
        <f>VLOOKUP(VLOOKUP(A133,DB_Locations!A:B,2,FALSE),DB_Patients!A:J,10,FALSE)&amp;" ("&amp;VLOOKUP(VLOOKUP(A133,DB_Locations!A:B,2,FALSE),DB_Patients!A:K,11,FALSE)&amp;")"</f>
        <v>58687516 ()</v>
      </c>
      <c r="E133" s="162" t="str">
        <f>VLOOKUP(VLOOKUP(A133,DB_Locations!A:B,2,FALSE),DB_Patients!A:F,6,FALSE)</f>
        <v>MAHDIA</v>
      </c>
      <c r="F133" s="162" t="str">
        <f>VLOOKUP(VLOOKUP(A133,DB_Locations!A:B,2,FALSE),DB_Patients!A:M,13,FALSE)</f>
        <v>CNAM</v>
      </c>
      <c r="G133" s="162" t="str">
        <f>VLOOKUP(VLOOKUP(A133,DB_Locations!A:B,2,FALSE),DB_Patients!A:L,12,FALSE)</f>
        <v>WAHID BRAHEM</v>
      </c>
      <c r="H133" s="162" t="str">
        <f>VLOOKUP(A133,DB_Locations!A:F,6,FALSE)</f>
        <v>KARIM</v>
      </c>
      <c r="I133" s="162">
        <f>VLOOKUP(A133,DB_Locations!A:G,7,FALSE)</f>
        <v>0</v>
      </c>
      <c r="J133" s="162" t="str">
        <f>VLOOKUP(VLOOKUP(A133,DB_Locations!A:C,3,FALSE),DB_Appareils!A:B,2,FALSE)</f>
        <v>VNI</v>
      </c>
      <c r="K133" s="161">
        <f>VLOOKUP(A133,DB_Locations!A:D,4,FALSE)</f>
        <v>45595</v>
      </c>
      <c r="L133" s="161" cm="1">
        <f t="array" ref="L133">IF(COUNTIF(DB_Paiements!B:B,A133)=0,"",LOOKUP(2,1/(DB_Paiements!B:B=A133),DB_Paiements!D:D))</f>
        <v>45686</v>
      </c>
      <c r="M133" s="161" cm="1">
        <f t="array" ref="M133">IF(COUNTIF(DB_Paiements!B:B,A133)=0,"",LOOKUP(2,1/(DB_Paiements!B:B=A133),DB_Paiements!E:E))</f>
        <v>45866</v>
      </c>
      <c r="N133" s="162" t="str" cm="1">
        <f t="array" ref="N133">IF(COUNTIF(DB_Paiements!B:B,A133)=0,"",LOOKUP(2,1/(DB_Paiements!B:B=A133),DB_Paiements!G:G))</f>
        <v>CNAM</v>
      </c>
      <c r="O133" s="162" cm="1">
        <f t="array" ref="O133">IF(COUNTIF(DB_Paiements!B:B,A133)=0,"",LOOKUP(2,1/(DB_Paiements!B:B=A133),DB_Paiements!F:F))</f>
        <v>2580</v>
      </c>
      <c r="P133" s="160"/>
      <c r="Q133" s="162">
        <f ca="1">IF(M133&lt;&gt;"",TODAY()-M133,"")</f>
        <v>29</v>
      </c>
      <c r="R133" s="162" t="str">
        <f>VLOOKUP(VLOOKUP(A133,DB_Locations!A:C,3,FALSE),DB_Appareils!A:F,6,FALSE)</f>
        <v>En location</v>
      </c>
      <c r="S133" s="162" t="str">
        <f>VLOOKUP(A133,DB_Locations!A:I,9,FALSE)</f>
        <v>ACTIF</v>
      </c>
      <c r="T133" s="162"/>
      <c r="U133" s="162"/>
      <c r="V133" s="164" t="str">
        <f ca="1">IF(U133&lt;&gt;"",TODAY()-U133,"")</f>
        <v/>
      </c>
      <c r="W133" s="164"/>
    </row>
    <row r="134" spans="1:23" x14ac:dyDescent="0.25">
      <c r="A134" s="162" t="s">
        <v>1507</v>
      </c>
      <c r="B134" s="162" t="str">
        <f>VLOOKUP(VLOOKUP(A134,DB_Locations!A:B,2,FALSE),DB_Patients!A:B,2,FALSE)</f>
        <v>SASSI SOLTAN</v>
      </c>
      <c r="C134" s="162" t="str">
        <f>VLOOKUP(VLOOKUP(A134,DB_Locations!A:B,2,FALSE),DB_Patients!A:H,8,FALSE)&amp;IF(VLOOKUP(VLOOKUP(A134,DB_Locations!A:B,2,FALSE),DB_Patients!A:I,9,FALSE)&lt;&gt;""," ("&amp;VLOOKUP(VLOOKUP(A134,DB_Locations!A:B,2,FALSE),DB_Patients!A:I,9,FALSE)&amp;")","")</f>
        <v>95871465 (92148086)</v>
      </c>
      <c r="D134" s="162" t="str">
        <f>VLOOKUP(VLOOKUP(A134,DB_Locations!A:B,2,FALSE),DB_Patients!A:J,10,FALSE)&amp;" ("&amp;VLOOKUP(VLOOKUP(A134,DB_Locations!A:B,2,FALSE),DB_Patients!A:K,11,FALSE)&amp;")"</f>
        <v>24525999 ()</v>
      </c>
      <c r="E134" s="162" t="str">
        <f>VLOOKUP(VLOOKUP(A134,DB_Locations!A:B,2,FALSE),DB_Patients!A:F,6,FALSE)</f>
        <v>KALAA KBIRA</v>
      </c>
      <c r="F134" s="162" t="str">
        <f>VLOOKUP(VLOOKUP(A134,DB_Locations!A:B,2,FALSE),DB_Patients!A:M,13,FALSE)</f>
        <v>CNAM</v>
      </c>
      <c r="G134" s="162" t="str">
        <f>VLOOKUP(VLOOKUP(A134,DB_Locations!A:B,2,FALSE),DB_Patients!A:L,12,FALSE)</f>
        <v>ASMA KNAZ</v>
      </c>
      <c r="H134" s="162" t="str">
        <f>VLOOKUP(A134,DB_Locations!A:F,6,FALSE)</f>
        <v>BILEL BOUHLEL</v>
      </c>
      <c r="I134" s="162">
        <f>VLOOKUP(A134,DB_Locations!A:G,7,FALSE)</f>
        <v>0</v>
      </c>
      <c r="J134" s="162" t="str">
        <f>VLOOKUP(VLOOKUP(A134,DB_Locations!A:C,3,FALSE),DB_Appareils!A:B,2,FALSE)</f>
        <v xml:space="preserve">VNI </v>
      </c>
      <c r="K134" s="161">
        <f>VLOOKUP(A134,DB_Locations!A:D,4,FALSE)</f>
        <v>45650</v>
      </c>
      <c r="L134" s="161" cm="1">
        <f t="array" ref="L134">IF(COUNTIF(DB_Paiements!B:B,A134)=0,"",LOOKUP(2,1/(DB_Paiements!B:B=A134),DB_Paiements!D:D))</f>
        <v>45841</v>
      </c>
      <c r="M134" s="161" cm="1">
        <f t="array" ref="M134">IF(COUNTIF(DB_Paiements!B:B,A134)=0,"",LOOKUP(2,1/(DB_Paiements!B:B=A134),DB_Paiements!E:E))</f>
        <v>46024</v>
      </c>
      <c r="N134" s="162" t="str" cm="1">
        <f t="array" ref="N134">IF(COUNTIF(DB_Paiements!B:B,A134)=0,"",LOOKUP(2,1/(DB_Paiements!B:B=A134),DB_Paiements!G:G))</f>
        <v>CNAM</v>
      </c>
      <c r="O134" s="162" cm="1">
        <f t="array" ref="O134">IF(COUNTIF(DB_Paiements!B:B,A134)=0,"",LOOKUP(2,1/(DB_Paiements!B:B=A134),DB_Paiements!F:F))</f>
        <v>2580</v>
      </c>
      <c r="P134" s="160"/>
      <c r="Q134" s="162">
        <f ca="1">IF(M134&lt;&gt;"",TODAY()-M134,"")</f>
        <v>-129</v>
      </c>
      <c r="R134" s="162" t="str">
        <f>VLOOKUP(VLOOKUP(A134,DB_Locations!A:C,3,FALSE),DB_Appareils!A:F,6,FALSE)</f>
        <v>En location</v>
      </c>
      <c r="S134" s="162" t="str">
        <f>VLOOKUP(A134,DB_Locations!A:I,9,FALSE)</f>
        <v>ACTIF</v>
      </c>
      <c r="T134" s="162"/>
      <c r="U134" s="162"/>
      <c r="V134" s="162"/>
      <c r="W134" s="164"/>
    </row>
    <row r="135" spans="1:23" x14ac:dyDescent="0.25">
      <c r="A135" s="162" t="s">
        <v>1508</v>
      </c>
      <c r="B135" s="162" t="str">
        <f>VLOOKUP(VLOOKUP(A135,DB_Locations!A:B,2,FALSE),DB_Patients!A:B,2,FALSE)</f>
        <v>MKHININI KAMEL</v>
      </c>
      <c r="C135" s="162" t="str">
        <f>VLOOKUP(VLOOKUP(A135,DB_Locations!A:B,2,FALSE),DB_Patients!A:H,8,FALSE)&amp;IF(VLOOKUP(VLOOKUP(A135,DB_Locations!A:B,2,FALSE),DB_Patients!A:I,9,FALSE)&lt;&gt;""," ("&amp;VLOOKUP(VLOOKUP(A135,DB_Locations!A:B,2,FALSE),DB_Patients!A:I,9,FALSE)&amp;")","")</f>
        <v>27408004 (20 036 001/95400243)</v>
      </c>
      <c r="D135" s="162" t="str">
        <f>VLOOKUP(VLOOKUP(A135,DB_Locations!A:B,2,FALSE),DB_Patients!A:J,10,FALSE)&amp;" ("&amp;VLOOKUP(VLOOKUP(A135,DB_Locations!A:B,2,FALSE),DB_Patients!A:K,11,FALSE)&amp;")"</f>
        <v>98983319 (HAMDI)</v>
      </c>
      <c r="E135" s="162" t="str">
        <f>VLOOKUP(VLOOKUP(A135,DB_Locations!A:B,2,FALSE),DB_Patients!A:F,6,FALSE)</f>
        <v>MSAKEN</v>
      </c>
      <c r="F135" s="162" t="str">
        <f>VLOOKUP(VLOOKUP(A135,DB_Locations!A:B,2,FALSE),DB_Patients!A:M,13,FALSE)</f>
        <v>CNAM</v>
      </c>
      <c r="G135" s="162" t="str">
        <f>VLOOKUP(VLOOKUP(A135,DB_Locations!A:B,2,FALSE),DB_Patients!A:L,12,FALSE)</f>
        <v>ITEB BEN LIMAM</v>
      </c>
      <c r="H135" s="162" t="str">
        <f>VLOOKUP(A135,DB_Locations!A:F,6,FALSE)</f>
        <v>BILEL BOUHLEL</v>
      </c>
      <c r="I135" s="162">
        <f>VLOOKUP(A135,DB_Locations!A:G,7,FALSE)</f>
        <v>0</v>
      </c>
      <c r="J135" s="162" t="str">
        <f>VLOOKUP(VLOOKUP(A135,DB_Locations!A:C,3,FALSE),DB_Appareils!A:B,2,FALSE)</f>
        <v>VNI</v>
      </c>
      <c r="K135" s="161">
        <f>VLOOKUP(A135,DB_Locations!A:D,4,FALSE)</f>
        <v>45684</v>
      </c>
      <c r="L135" s="161" cm="1">
        <f t="array" ref="L135">IF(COUNTIF(DB_Paiements!B:B,A135)=0,"",LOOKUP(2,1/(DB_Paiements!B:B=A135),DB_Paiements!D:D))</f>
        <v>45780</v>
      </c>
      <c r="M135" s="161" cm="1">
        <f t="array" ref="M135">IF(COUNTIF(DB_Paiements!B:B,A135)=0,"",LOOKUP(2,1/(DB_Paiements!B:B=A135),DB_Paiements!E:E))</f>
        <v>45871</v>
      </c>
      <c r="N135" s="162" t="str" cm="1">
        <f t="array" ref="N135">IF(COUNTIF(DB_Paiements!B:B,A135)=0,"",LOOKUP(2,1/(DB_Paiements!B:B=A135),DB_Paiements!G:G))</f>
        <v>CNAM</v>
      </c>
      <c r="O135" s="162" cm="1">
        <f t="array" ref="O135">IF(COUNTIF(DB_Paiements!B:B,A135)=0,"",LOOKUP(2,1/(DB_Paiements!B:B=A135),DB_Paiements!F:F))</f>
        <v>1290</v>
      </c>
      <c r="P135" s="160"/>
      <c r="Q135" s="162">
        <f ca="1">IF(M135&lt;&gt;"",TODAY()-M135,"")</f>
        <v>24</v>
      </c>
      <c r="R135" s="162" t="str">
        <f>VLOOKUP(VLOOKUP(A135,DB_Locations!A:C,3,FALSE),DB_Appareils!A:F,6,FALSE)</f>
        <v>En location</v>
      </c>
      <c r="S135" s="162" t="str">
        <f>VLOOKUP(A135,DB_Locations!A:I,9,FALSE)</f>
        <v>ACTIF</v>
      </c>
      <c r="T135" s="162"/>
      <c r="U135" s="162"/>
      <c r="V135" s="164" t="str">
        <f ca="1">IF(U135&lt;&gt;"",TODAY()-U135,"")</f>
        <v/>
      </c>
      <c r="W135" s="164"/>
    </row>
    <row r="136" spans="1:23" x14ac:dyDescent="0.25">
      <c r="A136" s="162" t="s">
        <v>1509</v>
      </c>
      <c r="B136" s="162" t="str">
        <f>VLOOKUP(VLOOKUP(A136,DB_Locations!A:B,2,FALSE),DB_Patients!A:B,2,FALSE)</f>
        <v>ABDERAZZEK BOUASKAR</v>
      </c>
      <c r="C136" s="162" t="str">
        <f>VLOOKUP(VLOOKUP(A136,DB_Locations!A:B,2,FALSE),DB_Patients!A:H,8,FALSE)&amp;IF(VLOOKUP(VLOOKUP(A136,DB_Locations!A:B,2,FALSE),DB_Patients!A:I,9,FALSE)&lt;&gt;""," ("&amp;VLOOKUP(VLOOKUP(A136,DB_Locations!A:B,2,FALSE),DB_Patients!A:I,9,FALSE)&amp;")","")</f>
        <v>20904688</v>
      </c>
      <c r="D136" s="162" t="str">
        <f>VLOOKUP(VLOOKUP(A136,DB_Locations!A:B,2,FALSE),DB_Patients!A:J,10,FALSE)&amp;" ("&amp;VLOOKUP(VLOOKUP(A136,DB_Locations!A:B,2,FALSE),DB_Patients!A:K,11,FALSE)&amp;")"</f>
        <v xml:space="preserve"> ()</v>
      </c>
      <c r="E136" s="162" t="str">
        <f>VLOOKUP(VLOOKUP(A136,DB_Locations!A:B,2,FALSE),DB_Patients!A:F,6,FALSE)</f>
        <v>ZAOUIA SOUSSE</v>
      </c>
      <c r="F136" s="162" t="str">
        <f>VLOOKUP(VLOOKUP(A136,DB_Locations!A:B,2,FALSE),DB_Patients!A:M,13,FALSE)</f>
        <v>CNAM</v>
      </c>
      <c r="G136" s="162" t="str">
        <f>VLOOKUP(VLOOKUP(A136,DB_Locations!A:B,2,FALSE),DB_Patients!A:L,12,FALSE)</f>
        <v xml:space="preserve">AHMED ABDELGHANI </v>
      </c>
      <c r="H136" s="162" t="str">
        <f>VLOOKUP(A136,DB_Locations!A:F,6,FALSE)</f>
        <v>BILEL BOUHLEL</v>
      </c>
      <c r="I136" s="162">
        <f>VLOOKUP(A136,DB_Locations!A:G,7,FALSE)</f>
        <v>0</v>
      </c>
      <c r="J136" s="162" t="str">
        <f>VLOOKUP(VLOOKUP(A136,DB_Locations!A:C,3,FALSE),DB_Appareils!A:B,2,FALSE)</f>
        <v>VNI</v>
      </c>
      <c r="K136" s="161">
        <f>VLOOKUP(A136,DB_Locations!A:D,4,FALSE)</f>
        <v>45681</v>
      </c>
      <c r="L136" s="161" cm="1">
        <f t="array" ref="L136">IF(COUNTIF(DB_Paiements!B:B,A136)=0,"",LOOKUP(2,1/(DB_Paiements!B:B=A136),DB_Paiements!D:D))</f>
        <v>45717</v>
      </c>
      <c r="M136" s="161" cm="1">
        <f t="array" ref="M136">IF(COUNTIF(DB_Paiements!B:B,A136)=0,"",LOOKUP(2,1/(DB_Paiements!B:B=A136),DB_Paiements!E:E))</f>
        <v>45807</v>
      </c>
      <c r="N136" s="162" t="str" cm="1">
        <f t="array" ref="N136">IF(COUNTIF(DB_Paiements!B:B,A136)=0,"",LOOKUP(2,1/(DB_Paiements!B:B=A136),DB_Paiements!G:G))</f>
        <v>CNAM</v>
      </c>
      <c r="O136" s="162" cm="1">
        <f t="array" ref="O136">IF(COUNTIF(DB_Paiements!B:B,A136)=0,"",LOOKUP(2,1/(DB_Paiements!B:B=A136),DB_Paiements!F:F))</f>
        <v>1290</v>
      </c>
      <c r="P136" s="160"/>
      <c r="Q136" s="162">
        <f ca="1">IF(M136&lt;&gt;"",TODAY()-M136,"")</f>
        <v>88</v>
      </c>
      <c r="R136" s="162" t="str">
        <f>VLOOKUP(VLOOKUP(A136,DB_Locations!A:C,3,FALSE),DB_Appareils!A:F,6,FALSE)</f>
        <v>En location</v>
      </c>
      <c r="S136" s="162" t="str">
        <f>VLOOKUP(A136,DB_Locations!A:I,9,FALSE)</f>
        <v>ACTIF</v>
      </c>
      <c r="T136" s="162" t="s">
        <v>2329</v>
      </c>
      <c r="U136" s="163">
        <v>45838</v>
      </c>
      <c r="V136" s="164">
        <f ca="1">IF(U136&lt;&gt;"",TODAY()-U136,"")</f>
        <v>57</v>
      </c>
      <c r="W136" s="164" t="s">
        <v>2465</v>
      </c>
    </row>
    <row r="137" spans="1:23" x14ac:dyDescent="0.25">
      <c r="A137" s="162" t="s">
        <v>1510</v>
      </c>
      <c r="B137" s="162" t="str">
        <f>VLOOKUP(VLOOKUP(A137,DB_Locations!A:B,2,FALSE),DB_Patients!A:B,2,FALSE)</f>
        <v>BEN AYED ABDELFFATEH</v>
      </c>
      <c r="C137" s="162" t="str">
        <f>VLOOKUP(VLOOKUP(A137,DB_Locations!A:B,2,FALSE),DB_Patients!A:H,8,FALSE)&amp;IF(VLOOKUP(VLOOKUP(A137,DB_Locations!A:B,2,FALSE),DB_Patients!A:I,9,FALSE)&lt;&gt;""," ("&amp;VLOOKUP(VLOOKUP(A137,DB_Locations!A:B,2,FALSE),DB_Patients!A:I,9,FALSE)&amp;")","")</f>
        <v>24830680 (SA FILLE)</v>
      </c>
      <c r="D137" s="162" t="str">
        <f>VLOOKUP(VLOOKUP(A137,DB_Locations!A:B,2,FALSE),DB_Patients!A:J,10,FALSE)&amp;" ("&amp;VLOOKUP(VLOOKUP(A137,DB_Locations!A:B,2,FALSE),DB_Patients!A:K,11,FALSE)&amp;")"</f>
        <v>25015770 (55411411)</v>
      </c>
      <c r="E137" s="162" t="str">
        <f>VLOOKUP(VLOOKUP(A137,DB_Locations!A:B,2,FALSE),DB_Patients!A:F,6,FALSE)</f>
        <v>ZAOUIA SOUSSE</v>
      </c>
      <c r="F137" s="162" t="str">
        <f>VLOOKUP(VLOOKUP(A137,DB_Locations!A:B,2,FALSE),DB_Patients!A:M,13,FALSE)</f>
        <v>CNAM</v>
      </c>
      <c r="G137" s="162" t="str">
        <f>VLOOKUP(VLOOKUP(A137,DB_Locations!A:B,2,FALSE),DB_Patients!A:L,12,FALSE)</f>
        <v>ITEB BEN LIMAM</v>
      </c>
      <c r="H137" s="162" t="str">
        <f>VLOOKUP(A137,DB_Locations!A:F,6,FALSE)</f>
        <v>KARIM</v>
      </c>
      <c r="I137" s="162">
        <f>VLOOKUP(A137,DB_Locations!A:G,7,FALSE)</f>
        <v>0</v>
      </c>
      <c r="J137" s="162" t="str">
        <f>VLOOKUP(VLOOKUP(A137,DB_Locations!A:C,3,FALSE),DB_Appareils!A:B,2,FALSE)</f>
        <v>VNI</v>
      </c>
      <c r="K137" s="161">
        <f>VLOOKUP(A137,DB_Locations!A:D,4,FALSE)</f>
        <v>45690</v>
      </c>
      <c r="L137" s="161" cm="1">
        <f t="array" ref="L137">IF(COUNTIF(DB_Paiements!B:B,A137)=0,"",LOOKUP(2,1/(DB_Paiements!B:B=A137),DB_Paiements!D:D))</f>
        <v>45693</v>
      </c>
      <c r="M137" s="161" cm="1">
        <f t="array" ref="M137">IF(COUNTIF(DB_Paiements!B:B,A137)=0,"",LOOKUP(2,1/(DB_Paiements!B:B=A137),DB_Paiements!E:E))</f>
        <v>45873</v>
      </c>
      <c r="N137" s="162" t="str" cm="1">
        <f t="array" ref="N137">IF(COUNTIF(DB_Paiements!B:B,A137)=0,"",LOOKUP(2,1/(DB_Paiements!B:B=A137),DB_Paiements!G:G))</f>
        <v>CNAM</v>
      </c>
      <c r="O137" s="162" cm="1">
        <f t="array" ref="O137">IF(COUNTIF(DB_Paiements!B:B,A137)=0,"",LOOKUP(2,1/(DB_Paiements!B:B=A137),DB_Paiements!F:F))</f>
        <v>2580</v>
      </c>
      <c r="P137" s="160"/>
      <c r="Q137" s="162">
        <f ca="1">IF(M137&lt;&gt;"",TODAY()-M137,"")</f>
        <v>22</v>
      </c>
      <c r="R137" s="162" t="str">
        <f>VLOOKUP(VLOOKUP(A137,DB_Locations!A:C,3,FALSE),DB_Appareils!A:F,6,FALSE)</f>
        <v>En location</v>
      </c>
      <c r="S137" s="162" t="str">
        <f>VLOOKUP(A137,DB_Locations!A:I,9,FALSE)</f>
        <v>ACTIF</v>
      </c>
      <c r="T137" s="162"/>
      <c r="U137" s="162"/>
      <c r="V137" s="164" t="str">
        <f ca="1">IF(U137&lt;&gt;"",TODAY()-U137,"")</f>
        <v/>
      </c>
      <c r="W137" s="164" t="s">
        <v>2033</v>
      </c>
    </row>
    <row r="138" spans="1:23" x14ac:dyDescent="0.25">
      <c r="A138" s="162" t="s">
        <v>1511</v>
      </c>
      <c r="B138" s="162" t="str">
        <f>VLOOKUP(VLOOKUP(A138,DB_Locations!A:B,2,FALSE),DB_Patients!A:B,2,FALSE)</f>
        <v xml:space="preserve">OUAJA HEDI </v>
      </c>
      <c r="C138" s="162" t="str">
        <f>VLOOKUP(VLOOKUP(A138,DB_Locations!A:B,2,FALSE),DB_Patients!A:H,8,FALSE)&amp;IF(VLOOKUP(VLOOKUP(A138,DB_Locations!A:B,2,FALSE),DB_Patients!A:I,9,FALSE)&lt;&gt;""," ("&amp;VLOOKUP(VLOOKUP(A138,DB_Locations!A:B,2,FALSE),DB_Patients!A:I,9,FALSE)&amp;")","")</f>
        <v>22858622 (SLIM)</v>
      </c>
      <c r="D138" s="162" t="str">
        <f>VLOOKUP(VLOOKUP(A138,DB_Locations!A:B,2,FALSE),DB_Patients!A:J,10,FALSE)&amp;" ("&amp;VLOOKUP(VLOOKUP(A138,DB_Locations!A:B,2,FALSE),DB_Patients!A:K,11,FALSE)&amp;")"</f>
        <v>50333466 (JIHEN)</v>
      </c>
      <c r="E138" s="162" t="str">
        <f>VLOOKUP(VLOOKUP(A138,DB_Locations!A:B,2,FALSE),DB_Patients!A:F,6,FALSE)</f>
        <v>CITE ERRIADH</v>
      </c>
      <c r="F138" s="162" t="str">
        <f>VLOOKUP(VLOOKUP(A138,DB_Locations!A:B,2,FALSE),DB_Patients!A:M,13,FALSE)</f>
        <v>CNAM</v>
      </c>
      <c r="G138" s="162" t="str">
        <f>VLOOKUP(VLOOKUP(A138,DB_Locations!A:B,2,FALSE),DB_Patients!A:L,12,FALSE)</f>
        <v>ITEB BEN LIMAM</v>
      </c>
      <c r="H138" s="162" t="str">
        <f>VLOOKUP(A138,DB_Locations!A:F,6,FALSE)</f>
        <v>KARIM</v>
      </c>
      <c r="I138" s="162">
        <f>VLOOKUP(A138,DB_Locations!A:G,7,FALSE)</f>
        <v>0</v>
      </c>
      <c r="J138" s="162" t="str">
        <f>VLOOKUP(VLOOKUP(A138,DB_Locations!A:C,3,FALSE),DB_Appareils!A:B,2,FALSE)</f>
        <v>VNI</v>
      </c>
      <c r="K138" s="161">
        <f>VLOOKUP(A138,DB_Locations!A:D,4,FALSE)</f>
        <v>45701</v>
      </c>
      <c r="L138" s="161" cm="1">
        <f t="array" ref="L138">IF(COUNTIF(DB_Paiements!B:B,A138)=0,"",LOOKUP(2,1/(DB_Paiements!B:B=A138),DB_Paiements!D:D))</f>
        <v>45706</v>
      </c>
      <c r="M138" s="161" cm="1">
        <f t="array" ref="M138">IF(COUNTIF(DB_Paiements!B:B,A138)=0,"",LOOKUP(2,1/(DB_Paiements!B:B=A138),DB_Paiements!E:E))</f>
        <v>45794</v>
      </c>
      <c r="N138" s="162" t="str" cm="1">
        <f t="array" ref="N138">IF(COUNTIF(DB_Paiements!B:B,A138)=0,"",LOOKUP(2,1/(DB_Paiements!B:B=A138),DB_Paiements!G:G))</f>
        <v>CNAM</v>
      </c>
      <c r="O138" s="162" cm="1">
        <f t="array" ref="O138">IF(COUNTIF(DB_Paiements!B:B,A138)=0,"",LOOKUP(2,1/(DB_Paiements!B:B=A138),DB_Paiements!F:F))</f>
        <v>1290</v>
      </c>
      <c r="P138" s="160"/>
      <c r="Q138" s="162">
        <f ca="1">IF(M138&lt;&gt;"",TODAY()-M138,"")</f>
        <v>101</v>
      </c>
      <c r="R138" s="162" t="str">
        <f>VLOOKUP(VLOOKUP(A138,DB_Locations!A:C,3,FALSE),DB_Appareils!A:F,6,FALSE)</f>
        <v>En location</v>
      </c>
      <c r="S138" s="162" t="str">
        <f>VLOOKUP(A138,DB_Locations!A:I,9,FALSE)</f>
        <v>ACTIF</v>
      </c>
      <c r="T138" s="162"/>
      <c r="U138" s="162"/>
      <c r="V138" s="164" t="str">
        <f ca="1">IF(U138&lt;&gt;"",TODAY()-U138,"")</f>
        <v/>
      </c>
      <c r="W138" s="164" t="s">
        <v>2395</v>
      </c>
    </row>
    <row r="139" spans="1:23" x14ac:dyDescent="0.25">
      <c r="A139" s="162" t="s">
        <v>1512</v>
      </c>
      <c r="B139" s="162" t="str">
        <f>VLOOKUP(VLOOKUP(A139,DB_Locations!A:B,2,FALSE),DB_Patients!A:B,2,FALSE)</f>
        <v>KHAMMARI AMOR</v>
      </c>
      <c r="C139" s="162" t="str">
        <f>VLOOKUP(VLOOKUP(A139,DB_Locations!A:B,2,FALSE),DB_Patients!A:H,8,FALSE)&amp;IF(VLOOKUP(VLOOKUP(A139,DB_Locations!A:B,2,FALSE),DB_Patients!A:I,9,FALSE)&lt;&gt;""," ("&amp;VLOOKUP(VLOOKUP(A139,DB_Locations!A:B,2,FALSE),DB_Patients!A:I,9,FALSE)&amp;")","")</f>
        <v>95033994</v>
      </c>
      <c r="D139" s="162" t="str">
        <f>VLOOKUP(VLOOKUP(A139,DB_Locations!A:B,2,FALSE),DB_Patients!A:J,10,FALSE)&amp;" ("&amp;VLOOKUP(VLOOKUP(A139,DB_Locations!A:B,2,FALSE),DB_Patients!A:K,11,FALSE)&amp;")"</f>
        <v>93846519 ()</v>
      </c>
      <c r="E139" s="162" t="str">
        <f>VLOOKUP(VLOOKUP(A139,DB_Locations!A:B,2,FALSE),DB_Patients!A:F,6,FALSE)</f>
        <v>ZAOUIA SOUSSE</v>
      </c>
      <c r="F139" s="162" t="str">
        <f>VLOOKUP(VLOOKUP(A139,DB_Locations!A:B,2,FALSE),DB_Patients!A:M,13,FALSE)</f>
        <v>CNAM</v>
      </c>
      <c r="G139" s="162" t="str">
        <f>VLOOKUP(VLOOKUP(A139,DB_Locations!A:B,2,FALSE),DB_Patients!A:L,12,FALSE)</f>
        <v>SANA AISSA</v>
      </c>
      <c r="H139" s="162" t="str">
        <f>VLOOKUP(A139,DB_Locations!A:F,6,FALSE)</f>
        <v>BILEL BOUHLEL</v>
      </c>
      <c r="I139" s="162">
        <f>VLOOKUP(A139,DB_Locations!A:G,7,FALSE)</f>
        <v>0</v>
      </c>
      <c r="J139" s="162" t="str">
        <f>VLOOKUP(VLOOKUP(A139,DB_Locations!A:C,3,FALSE),DB_Appareils!A:B,2,FALSE)</f>
        <v>VNI</v>
      </c>
      <c r="K139" s="161">
        <f>VLOOKUP(A139,DB_Locations!A:D,4,FALSE)</f>
        <v>45706</v>
      </c>
      <c r="L139" s="161" cm="1">
        <f t="array" ref="L139">IF(COUNTIF(DB_Paiements!B:B,A139)=0,"",LOOKUP(2,1/(DB_Paiements!B:B=A139),DB_Paiements!D:D))</f>
        <v>45766</v>
      </c>
      <c r="M139" s="161" cm="1">
        <f t="array" ref="M139">IF(COUNTIF(DB_Paiements!B:B,A139)=0,"",LOOKUP(2,1/(DB_Paiements!B:B=A139),DB_Paiements!E:E))</f>
        <v>45856</v>
      </c>
      <c r="N139" s="162" t="str" cm="1">
        <f t="array" ref="N139">IF(COUNTIF(DB_Paiements!B:B,A139)=0,"",LOOKUP(2,1/(DB_Paiements!B:B=A139),DB_Paiements!G:G))</f>
        <v>CNAM</v>
      </c>
      <c r="O139" s="162" cm="1">
        <f t="array" ref="O139">IF(COUNTIF(DB_Paiements!B:B,A139)=0,"",LOOKUP(2,1/(DB_Paiements!B:B=A139),DB_Paiements!F:F))</f>
        <v>1290</v>
      </c>
      <c r="P139" s="160"/>
      <c r="Q139" s="162">
        <f ca="1">IF(M139&lt;&gt;"",TODAY()-M139,"")</f>
        <v>39</v>
      </c>
      <c r="R139" s="162" t="str">
        <f>VLOOKUP(VLOOKUP(A139,DB_Locations!A:C,3,FALSE),DB_Appareils!A:F,6,FALSE)</f>
        <v>En location</v>
      </c>
      <c r="S139" s="162" t="str">
        <f>VLOOKUP(A139,DB_Locations!A:I,9,FALSE)</f>
        <v>ACTIF</v>
      </c>
      <c r="T139" s="162" t="s">
        <v>2329</v>
      </c>
      <c r="U139" s="163">
        <v>45870</v>
      </c>
      <c r="V139" s="164">
        <f ca="1">IF(U139&lt;&gt;"",TODAY()-U139,"")</f>
        <v>25</v>
      </c>
      <c r="W139" s="164" t="s">
        <v>2466</v>
      </c>
    </row>
    <row r="140" spans="1:23" x14ac:dyDescent="0.25">
      <c r="A140" s="162" t="s">
        <v>1513</v>
      </c>
      <c r="B140" s="162" t="str">
        <f>VLOOKUP(VLOOKUP(A140,DB_Locations!A:B,2,FALSE),DB_Patients!A:B,2,FALSE)</f>
        <v>MAALAOUI NOUREDDINE</v>
      </c>
      <c r="C140" s="162" t="str">
        <f>VLOOKUP(VLOOKUP(A140,DB_Locations!A:B,2,FALSE),DB_Patients!A:H,8,FALSE)&amp;IF(VLOOKUP(VLOOKUP(A140,DB_Locations!A:B,2,FALSE),DB_Patients!A:I,9,FALSE)&lt;&gt;""," ("&amp;VLOOKUP(VLOOKUP(A140,DB_Locations!A:B,2,FALSE),DB_Patients!A:I,9,FALSE)&amp;")","")</f>
        <v>90198526 SON FILS ARBI (20596425 SA FEMME )</v>
      </c>
      <c r="D140" s="162" t="str">
        <f>VLOOKUP(VLOOKUP(A140,DB_Locations!A:B,2,FALSE),DB_Patients!A:J,10,FALSE)&amp;" ("&amp;VLOOKUP(VLOOKUP(A140,DB_Locations!A:B,2,FALSE),DB_Patients!A:K,11,FALSE)&amp;")"</f>
        <v>22816831 ()</v>
      </c>
      <c r="E140" s="162" t="str">
        <f>VLOOKUP(VLOOKUP(A140,DB_Locations!A:B,2,FALSE),DB_Patients!A:F,6,FALSE)</f>
        <v>MANZEL BOURGUIBA</v>
      </c>
      <c r="F140" s="162" t="str">
        <f>VLOOKUP(VLOOKUP(A140,DB_Locations!A:B,2,FALSE),DB_Patients!A:M,13,FALSE)</f>
        <v>CNAM</v>
      </c>
      <c r="G140" s="162" t="str">
        <f>VLOOKUP(VLOOKUP(A140,DB_Locations!A:B,2,FALSE),DB_Patients!A:L,12,FALSE)</f>
        <v>OTHMEN NAFFETY</v>
      </c>
      <c r="H140" s="162" t="str">
        <f>VLOOKUP(A140,DB_Locations!A:F,6,FALSE)</f>
        <v>SOUHAIEB BEN SAHRA</v>
      </c>
      <c r="I140" s="162">
        <f>VLOOKUP(A140,DB_Locations!A:G,7,FALSE)</f>
        <v>0</v>
      </c>
      <c r="J140" s="162" t="str">
        <f>VLOOKUP(VLOOKUP(A140,DB_Locations!A:C,3,FALSE),DB_Appareils!A:B,2,FALSE)</f>
        <v>VNI</v>
      </c>
      <c r="K140" s="161">
        <f>VLOOKUP(A140,DB_Locations!A:D,4,FALSE)</f>
        <v>45726</v>
      </c>
      <c r="L140" s="161" cm="1">
        <f t="array" ref="L140">IF(COUNTIF(DB_Paiements!B:B,A140)=0,"",LOOKUP(2,1/(DB_Paiements!B:B=A140),DB_Paiements!D:D))</f>
        <v>45730</v>
      </c>
      <c r="M140" s="161" cm="1">
        <f t="array" ref="M140">IF(COUNTIF(DB_Paiements!B:B,A140)=0,"",LOOKUP(2,1/(DB_Paiements!B:B=A140),DB_Paiements!E:E))</f>
        <v>45821</v>
      </c>
      <c r="N140" s="162" t="str" cm="1">
        <f t="array" ref="N140">IF(COUNTIF(DB_Paiements!B:B,A140)=0,"",LOOKUP(2,1/(DB_Paiements!B:B=A140),DB_Paiements!G:G))</f>
        <v>CNAM</v>
      </c>
      <c r="O140" s="162" cm="1">
        <f t="array" ref="O140">IF(COUNTIF(DB_Paiements!B:B,A140)=0,"",LOOKUP(2,1/(DB_Paiements!B:B=A140),DB_Paiements!F:F))</f>
        <v>1290</v>
      </c>
      <c r="P140" s="160"/>
      <c r="Q140" s="162">
        <f ca="1">IF(M140&lt;&gt;"",TODAY()-M140,"")</f>
        <v>74</v>
      </c>
      <c r="R140" s="162" t="str">
        <f>VLOOKUP(VLOOKUP(A140,DB_Locations!A:C,3,FALSE),DB_Appareils!A:F,6,FALSE)</f>
        <v>En location</v>
      </c>
      <c r="S140" s="162" t="str">
        <f>VLOOKUP(A140,DB_Locations!A:I,9,FALSE)</f>
        <v>ACTIF</v>
      </c>
      <c r="T140" s="162"/>
      <c r="U140" s="162"/>
      <c r="V140" s="164" t="str">
        <f ca="1">IF(U140&lt;&gt;"",TODAY()-U140,"")</f>
        <v/>
      </c>
      <c r="W140" s="164"/>
    </row>
    <row r="141" spans="1:23" x14ac:dyDescent="0.25">
      <c r="A141" s="162" t="s">
        <v>1514</v>
      </c>
      <c r="B141" s="162" t="str">
        <f>VLOOKUP(VLOOKUP(A141,DB_Locations!A:B,2,FALSE),DB_Patients!A:B,2,FALSE)</f>
        <v>TURKIA EL AJMI</v>
      </c>
      <c r="C141" s="162" t="str">
        <f>VLOOKUP(VLOOKUP(A141,DB_Locations!A:B,2,FALSE),DB_Patients!A:H,8,FALSE)&amp;IF(VLOOKUP(VLOOKUP(A141,DB_Locations!A:B,2,FALSE),DB_Patients!A:I,9,FALSE)&lt;&gt;""," ("&amp;VLOOKUP(VLOOKUP(A141,DB_Locations!A:B,2,FALSE),DB_Patients!A:I,9,FALSE)&amp;")","")</f>
        <v>98983440</v>
      </c>
      <c r="D141" s="162" t="str">
        <f>VLOOKUP(VLOOKUP(A141,DB_Locations!A:B,2,FALSE),DB_Patients!A:J,10,FALSE)&amp;" ("&amp;VLOOKUP(VLOOKUP(A141,DB_Locations!A:B,2,FALSE),DB_Patients!A:K,11,FALSE)&amp;")"</f>
        <v>54623580 ()</v>
      </c>
      <c r="E141" s="162" t="str">
        <f>VLOOKUP(VLOOKUP(A141,DB_Locations!A:B,2,FALSE),DB_Patients!A:F,6,FALSE)</f>
        <v>MSAKEN</v>
      </c>
      <c r="F141" s="162" t="str">
        <f>VLOOKUP(VLOOKUP(A141,DB_Locations!A:B,2,FALSE),DB_Patients!A:M,13,FALSE)</f>
        <v>CNAM</v>
      </c>
      <c r="G141" s="162" t="str">
        <f>VLOOKUP(VLOOKUP(A141,DB_Locations!A:B,2,FALSE),DB_Patients!A:L,12,FALSE)</f>
        <v>BARAA BEN BDIRA</v>
      </c>
      <c r="H141" s="162" t="str">
        <f>VLOOKUP(A141,DB_Locations!A:F,6,FALSE)</f>
        <v>BILEL BOUHLEL</v>
      </c>
      <c r="I141" s="162">
        <f>VLOOKUP(A141,DB_Locations!A:G,7,FALSE)</f>
        <v>0</v>
      </c>
      <c r="J141" s="162" t="str">
        <f>VLOOKUP(VLOOKUP(A141,DB_Locations!A:C,3,FALSE),DB_Appareils!A:B,2,FALSE)</f>
        <v>VNI</v>
      </c>
      <c r="K141" s="161">
        <f>VLOOKUP(A141,DB_Locations!A:D,4,FALSE)</f>
        <v>45721</v>
      </c>
      <c r="L141" s="161" cm="1">
        <f t="array" ref="L141">IF(COUNTIF(DB_Paiements!B:B,A141)=0,"",LOOKUP(2,1/(DB_Paiements!B:B=A141),DB_Paiements!D:D))</f>
        <v>45788</v>
      </c>
      <c r="M141" s="161" cm="1">
        <f t="array" ref="M141">IF(COUNTIF(DB_Paiements!B:B,A141)=0,"",LOOKUP(2,1/(DB_Paiements!B:B=A141),DB_Paiements!E:E))</f>
        <v>45879</v>
      </c>
      <c r="N141" s="162" t="str" cm="1">
        <f t="array" ref="N141">IF(COUNTIF(DB_Paiements!B:B,A141)=0,"",LOOKUP(2,1/(DB_Paiements!B:B=A141),DB_Paiements!G:G))</f>
        <v>CNAM</v>
      </c>
      <c r="O141" s="162" cm="1">
        <f t="array" ref="O141">IF(COUNTIF(DB_Paiements!B:B,A141)=0,"",LOOKUP(2,1/(DB_Paiements!B:B=A141),DB_Paiements!F:F))</f>
        <v>1290</v>
      </c>
      <c r="P141" s="160"/>
      <c r="Q141" s="162">
        <f ca="1">IF(M141&lt;&gt;"",TODAY()-M141,"")</f>
        <v>16</v>
      </c>
      <c r="R141" s="162" t="str">
        <f>VLOOKUP(VLOOKUP(A141,DB_Locations!A:C,3,FALSE),DB_Appareils!A:F,6,FALSE)</f>
        <v>En location</v>
      </c>
      <c r="S141" s="162" t="str">
        <f>VLOOKUP(A141,DB_Locations!A:I,9,FALSE)</f>
        <v>ACTIF</v>
      </c>
      <c r="T141" s="162"/>
      <c r="U141" s="162"/>
      <c r="V141" s="164" t="str">
        <f ca="1">IF(U141&lt;&gt;"",TODAY()-U141,"")</f>
        <v/>
      </c>
      <c r="W141" s="164"/>
    </row>
    <row r="142" spans="1:23" x14ac:dyDescent="0.25">
      <c r="A142" s="162" t="s">
        <v>1515</v>
      </c>
      <c r="B142" s="162" t="str">
        <f>VLOOKUP(VLOOKUP(A142,DB_Locations!A:B,2,FALSE),DB_Patients!A:B,2,FALSE)</f>
        <v>BOUAJILA TAHER</v>
      </c>
      <c r="C142" s="162" t="str">
        <f>VLOOKUP(VLOOKUP(A142,DB_Locations!A:B,2,FALSE),DB_Patients!A:H,8,FALSE)&amp;IF(VLOOKUP(VLOOKUP(A142,DB_Locations!A:B,2,FALSE),DB_Patients!A:I,9,FALSE)&lt;&gt;""," ("&amp;VLOOKUP(VLOOKUP(A142,DB_Locations!A:B,2,FALSE),DB_Patients!A:I,9,FALSE)&amp;")","")</f>
        <v>98202661</v>
      </c>
      <c r="D142" s="162" t="str">
        <f>VLOOKUP(VLOOKUP(A142,DB_Locations!A:B,2,FALSE),DB_Patients!A:J,10,FALSE)&amp;" ("&amp;VLOOKUP(VLOOKUP(A142,DB_Locations!A:B,2,FALSE),DB_Patients!A:K,11,FALSE)&amp;")"</f>
        <v>20974257 ()</v>
      </c>
      <c r="E142" s="162" t="str">
        <f>VLOOKUP(VLOOKUP(A142,DB_Locations!A:B,2,FALSE),DB_Patients!A:F,6,FALSE)</f>
        <v>SOUSSE</v>
      </c>
      <c r="F142" s="162" t="str">
        <f>VLOOKUP(VLOOKUP(A142,DB_Locations!A:B,2,FALSE),DB_Patients!A:M,13,FALSE)</f>
        <v>CNAM</v>
      </c>
      <c r="G142" s="162" t="str">
        <f>VLOOKUP(VLOOKUP(A142,DB_Locations!A:B,2,FALSE),DB_Patients!A:L,12,FALSE)</f>
        <v>ITEB BEN LIMAM</v>
      </c>
      <c r="H142" s="162" t="str">
        <f>VLOOKUP(A142,DB_Locations!A:F,6,FALSE)</f>
        <v>KARIM</v>
      </c>
      <c r="I142" s="162">
        <f>VLOOKUP(A142,DB_Locations!A:G,7,FALSE)</f>
        <v>0</v>
      </c>
      <c r="J142" s="162" t="str">
        <f>VLOOKUP(VLOOKUP(A142,DB_Locations!A:C,3,FALSE),DB_Appareils!A:B,2,FALSE)</f>
        <v>CONCENTRATEUR O2</v>
      </c>
      <c r="K142" s="161">
        <f>VLOOKUP(A142,DB_Locations!A:D,4,FALSE)</f>
        <v>45875</v>
      </c>
      <c r="L142" s="161" cm="1">
        <f t="array" aca="1" ref="L142" ca="1">IF(COUNTIF(DB_Paiements!B:B,A142)=0,"",LOOKUP(2,1/(DB_Paiements!B:B=A142),DB_Paiements!D:D))</f>
        <v>45895</v>
      </c>
      <c r="M142" s="161" cm="1">
        <f t="array" ref="M142">IF(COUNTIF(DB_Paiements!B:B,A142)=0,"",LOOKUP(2,1/(DB_Paiements!B:B=A142),DB_Paiements!E:E))</f>
        <v>45875</v>
      </c>
      <c r="N142" s="162" t="str" cm="1">
        <f t="array" ref="N142">IF(COUNTIF(DB_Paiements!B:B,A142)=0,"",LOOKUP(2,1/(DB_Paiements!B:B=A142),DB_Paiements!G:G))</f>
        <v>CNAM</v>
      </c>
      <c r="O142" s="162" cm="1">
        <f t="array" aca="1" ref="O142" ca="1">IF(COUNTIF(DB_Paiements!B:B,A142)=0,"",LOOKUP(2,1/(DB_Paiements!B:B=A142),DB_Paiements!F:F))</f>
        <v>-190</v>
      </c>
      <c r="P142" s="160"/>
      <c r="Q142" s="162">
        <f ca="1">IF(M142&lt;&gt;"",TODAY()-M142,"")</f>
        <v>20</v>
      </c>
      <c r="R142" s="162" t="str">
        <f>VLOOKUP(VLOOKUP(A142,DB_Locations!A:C,3,FALSE),DB_Appareils!A:F,6,FALSE)</f>
        <v>En location</v>
      </c>
      <c r="S142" s="162" t="str">
        <f>VLOOKUP(A142,DB_Locations!A:I,9,FALSE)</f>
        <v>ACTIF</v>
      </c>
      <c r="T142" s="162"/>
      <c r="U142" s="162"/>
      <c r="V142" s="164" t="str">
        <f ca="1">IF(U142&lt;&gt;"",TODAY()-U142,"")</f>
        <v/>
      </c>
      <c r="W142" s="164"/>
    </row>
    <row r="143" spans="1:23" x14ac:dyDescent="0.25">
      <c r="A143" s="162" t="s">
        <v>1516</v>
      </c>
      <c r="B143" s="162" t="str">
        <f>VLOOKUP(VLOOKUP(A143,DB_Locations!A:B,2,FALSE),DB_Patients!A:B,2,FALSE)</f>
        <v>KHLIJ AMEUR</v>
      </c>
      <c r="C143" s="162" t="str">
        <f>VLOOKUP(VLOOKUP(A143,DB_Locations!A:B,2,FALSE),DB_Patients!A:H,8,FALSE)&amp;IF(VLOOKUP(VLOOKUP(A143,DB_Locations!A:B,2,FALSE),DB_Patients!A:I,9,FALSE)&lt;&gt;""," ("&amp;VLOOKUP(VLOOKUP(A143,DB_Locations!A:B,2,FALSE),DB_Patients!A:I,9,FALSE)&amp;")","")</f>
        <v>26593197</v>
      </c>
      <c r="D143" s="162" t="str">
        <f>VLOOKUP(VLOOKUP(A143,DB_Locations!A:B,2,FALSE),DB_Patients!A:J,10,FALSE)&amp;" ("&amp;VLOOKUP(VLOOKUP(A143,DB_Locations!A:B,2,FALSE),DB_Patients!A:K,11,FALSE)&amp;")"</f>
        <v>22091260 ()</v>
      </c>
      <c r="E143" s="162" t="str">
        <f>VLOOKUP(VLOOKUP(A143,DB_Locations!A:B,2,FALSE),DB_Patients!A:F,6,FALSE)</f>
        <v>KALAA KBIRA</v>
      </c>
      <c r="F143" s="162" t="str">
        <f>VLOOKUP(VLOOKUP(A143,DB_Locations!A:B,2,FALSE),DB_Patients!A:M,13,FALSE)</f>
        <v>CNAM</v>
      </c>
      <c r="G143" s="162" t="str">
        <f>VLOOKUP(VLOOKUP(A143,DB_Locations!A:B,2,FALSE),DB_Patients!A:L,12,FALSE)</f>
        <v>ITEB BEN LIMAM</v>
      </c>
      <c r="H143" s="162" t="str">
        <f>VLOOKUP(A143,DB_Locations!A:F,6,FALSE)</f>
        <v>KARIM</v>
      </c>
      <c r="I143" s="162">
        <f>VLOOKUP(A143,DB_Locations!A:G,7,FALSE)</f>
        <v>0</v>
      </c>
      <c r="J143" s="162" t="str">
        <f>VLOOKUP(VLOOKUP(A143,DB_Locations!A:C,3,FALSE),DB_Appareils!A:B,2,FALSE)</f>
        <v>VNI</v>
      </c>
      <c r="K143" s="161">
        <f>VLOOKUP(A143,DB_Locations!A:D,4,FALSE)</f>
        <v>45727</v>
      </c>
      <c r="L143" s="161" cm="1">
        <f t="array" ref="L143">IF(COUNTIF(DB_Paiements!B:B,A143)=0,"",LOOKUP(2,1/(DB_Paiements!B:B=A143),DB_Paiements!D:D))</f>
        <v>45729</v>
      </c>
      <c r="M143" s="161" cm="1">
        <f t="array" ref="M143">IF(COUNTIF(DB_Paiements!B:B,A143)=0,"",LOOKUP(2,1/(DB_Paiements!B:B=A143),DB_Paiements!E:E))</f>
        <v>45912</v>
      </c>
      <c r="N143" s="162" t="str" cm="1">
        <f t="array" ref="N143">IF(COUNTIF(DB_Paiements!B:B,A143)=0,"",LOOKUP(2,1/(DB_Paiements!B:B=A143),DB_Paiements!G:G))</f>
        <v>CNAM</v>
      </c>
      <c r="O143" s="162" cm="1">
        <f t="array" ref="O143">IF(COUNTIF(DB_Paiements!B:B,A143)=0,"",LOOKUP(2,1/(DB_Paiements!B:B=A143),DB_Paiements!F:F))</f>
        <v>1140</v>
      </c>
      <c r="P143" s="160"/>
      <c r="Q143" s="162">
        <f ca="1">IF(M143&lt;&gt;"",TODAY()-M143,"")</f>
        <v>-17</v>
      </c>
      <c r="R143" s="162" t="str">
        <f>VLOOKUP(VLOOKUP(A143,DB_Locations!A:C,3,FALSE),DB_Appareils!A:F,6,FALSE)</f>
        <v>En location</v>
      </c>
      <c r="S143" s="162" t="str">
        <f>VLOOKUP(A143,DB_Locations!A:I,9,FALSE)</f>
        <v>ACTIF</v>
      </c>
      <c r="T143" s="162"/>
      <c r="U143" s="162"/>
      <c r="V143" s="162"/>
      <c r="W143" s="164"/>
    </row>
    <row r="144" spans="1:23" x14ac:dyDescent="0.25">
      <c r="A144" s="162" t="s">
        <v>1517</v>
      </c>
      <c r="B144" s="162" t="str">
        <f>VLOOKUP(VLOOKUP(A144,DB_Locations!A:B,2,FALSE),DB_Patients!A:B,2,FALSE)</f>
        <v>MIRAOUI MARAM AICHA</v>
      </c>
      <c r="C144" s="162" t="str">
        <f>VLOOKUP(VLOOKUP(A144,DB_Locations!A:B,2,FALSE),DB_Patients!A:H,8,FALSE)&amp;IF(VLOOKUP(VLOOKUP(A144,DB_Locations!A:B,2,FALSE),DB_Patients!A:I,9,FALSE)&lt;&gt;""," ("&amp;VLOOKUP(VLOOKUP(A144,DB_Locations!A:B,2,FALSE),DB_Patients!A:I,9,FALSE)&amp;")","")</f>
        <v>98645908 SA MERE (95956734)</v>
      </c>
      <c r="D144" s="162" t="str">
        <f>VLOOKUP(VLOOKUP(A144,DB_Locations!A:B,2,FALSE),DB_Patients!A:J,10,FALSE)&amp;" ("&amp;VLOOKUP(VLOOKUP(A144,DB_Locations!A:B,2,FALSE),DB_Patients!A:K,11,FALSE)&amp;")"</f>
        <v>92351421 ()</v>
      </c>
      <c r="E144" s="162" t="str">
        <f>VLOOKUP(VLOOKUP(A144,DB_Locations!A:B,2,FALSE),DB_Patients!A:F,6,FALSE)</f>
        <v>SOUSSE</v>
      </c>
      <c r="F144" s="162" t="str">
        <f>VLOOKUP(VLOOKUP(A144,DB_Locations!A:B,2,FALSE),DB_Patients!A:M,13,FALSE)</f>
        <v>CNAM</v>
      </c>
      <c r="G144" s="162" t="str">
        <f>VLOOKUP(VLOOKUP(A144,DB_Locations!A:B,2,FALSE),DB_Patients!A:L,12,FALSE)</f>
        <v>SANA AISSA</v>
      </c>
      <c r="H144" s="162" t="str">
        <f>VLOOKUP(A144,DB_Locations!A:F,6,FALSE)</f>
        <v>KARIM</v>
      </c>
      <c r="I144" s="162">
        <f>VLOOKUP(A144,DB_Locations!A:G,7,FALSE)</f>
        <v>0</v>
      </c>
      <c r="J144" s="162" t="str">
        <f>VLOOKUP(VLOOKUP(A144,DB_Locations!A:C,3,FALSE),DB_Appareils!A:B,2,FALSE)</f>
        <v>VNI</v>
      </c>
      <c r="K144" s="161">
        <f>VLOOKUP(A144,DB_Locations!A:D,4,FALSE)</f>
        <v>45750</v>
      </c>
      <c r="L144" s="161" cm="1">
        <f t="array" ref="L144">IF(COUNTIF(DB_Paiements!B:B,A144)=0,"",LOOKUP(2,1/(DB_Paiements!B:B=A144),DB_Paiements!D:D))</f>
        <v>45788</v>
      </c>
      <c r="M144" s="161" cm="1">
        <f t="array" ref="M144">IF(COUNTIF(DB_Paiements!B:B,A144)=0,"",LOOKUP(2,1/(DB_Paiements!B:B=A144),DB_Paiements!E:E))</f>
        <v>45879</v>
      </c>
      <c r="N144" s="162" t="str" cm="1">
        <f t="array" ref="N144">IF(COUNTIF(DB_Paiements!B:B,A144)=0,"",LOOKUP(2,1/(DB_Paiements!B:B=A144),DB_Paiements!G:G))</f>
        <v>CNAM</v>
      </c>
      <c r="O144" s="162" cm="1">
        <f t="array" ref="O144">IF(COUNTIF(DB_Paiements!B:B,A144)=0,"",LOOKUP(2,1/(DB_Paiements!B:B=A144),DB_Paiements!F:F))</f>
        <v>1290</v>
      </c>
      <c r="P144" s="160"/>
      <c r="Q144" s="162">
        <f ca="1">IF(M144&lt;&gt;"",TODAY()-M144,"")</f>
        <v>16</v>
      </c>
      <c r="R144" s="162" t="str">
        <f>VLOOKUP(VLOOKUP(A144,DB_Locations!A:C,3,FALSE),DB_Appareils!A:F,6,FALSE)</f>
        <v>En location</v>
      </c>
      <c r="S144" s="162" t="str">
        <f>VLOOKUP(A144,DB_Locations!A:I,9,FALSE)</f>
        <v>ACTIF</v>
      </c>
      <c r="T144" s="162"/>
      <c r="U144" s="162"/>
      <c r="V144" s="164" t="str">
        <f ca="1">IF(U144&lt;&gt;"",TODAY()-U144,"")</f>
        <v/>
      </c>
      <c r="W144" s="164" t="s">
        <v>2033</v>
      </c>
    </row>
    <row r="145" spans="1:23" x14ac:dyDescent="0.25">
      <c r="A145" s="162" t="s">
        <v>1468</v>
      </c>
      <c r="B145" s="162" t="str">
        <f>VLOOKUP(VLOOKUP(A145,DB_Locations!A:B,2,FALSE),DB_Patients!A:B,2,FALSE)</f>
        <v>ADHIMI SALHA</v>
      </c>
      <c r="C145" s="162" t="str">
        <f>VLOOKUP(VLOOKUP(A145,DB_Locations!A:B,2,FALSE),DB_Patients!A:H,8,FALSE)&amp;IF(VLOOKUP(VLOOKUP(A145,DB_Locations!A:B,2,FALSE),DB_Patients!A:I,9,FALSE)&lt;&gt;""," ("&amp;VLOOKUP(VLOOKUP(A145,DB_Locations!A:B,2,FALSE),DB_Patients!A:I,9,FALSE)&amp;")","")</f>
        <v>58 143 286 SA FILLE (58145274)</v>
      </c>
      <c r="D145" s="162" t="str">
        <f>VLOOKUP(VLOOKUP(A145,DB_Locations!A:B,2,FALSE),DB_Patients!A:J,10,FALSE)&amp;" ("&amp;VLOOKUP(VLOOKUP(A145,DB_Locations!A:B,2,FALSE),DB_Patients!A:K,11,FALSE)&amp;")"</f>
        <v>58798955 (JALILA)</v>
      </c>
      <c r="E145" s="162" t="str">
        <f>VLOOKUP(VLOOKUP(A145,DB_Locations!A:B,2,FALSE),DB_Patients!A:F,6,FALSE)</f>
        <v>CITE EZZOUHOUR</v>
      </c>
      <c r="F145" s="162" t="str">
        <f>VLOOKUP(VLOOKUP(A145,DB_Locations!A:B,2,FALSE),DB_Patients!A:M,13,FALSE)</f>
        <v>CNAM</v>
      </c>
      <c r="G145" s="162" t="str">
        <f>VLOOKUP(VLOOKUP(A145,DB_Locations!A:B,2,FALSE),DB_Patients!A:L,12,FALSE)</f>
        <v>GARGOURI IMEN</v>
      </c>
      <c r="H145" s="162" t="str">
        <f>VLOOKUP(A145,DB_Locations!A:F,6,FALSE)</f>
        <v>BILEL BOUHLEL</v>
      </c>
      <c r="I145" s="162">
        <f>VLOOKUP(A145,DB_Locations!A:G,7,FALSE)</f>
        <v>0</v>
      </c>
      <c r="J145" s="162" t="str">
        <f>VLOOKUP(VLOOKUP(A145,DB_Locations!A:C,3,FALSE),DB_Appareils!A:B,2,FALSE)</f>
        <v>VNI</v>
      </c>
      <c r="K145" s="161">
        <f>VLOOKUP(A145,DB_Locations!A:D,4,FALSE)</f>
        <v>44020</v>
      </c>
      <c r="L145" s="161" cm="1">
        <f t="array" ref="L145">IF(COUNTIF(DB_Paiements!B:B,A145)=0,"",LOOKUP(2,1/(DB_Paiements!B:B=A145),DB_Paiements!D:D))</f>
        <v>45666</v>
      </c>
      <c r="M145" s="161" cm="1">
        <f t="array" ref="M145">IF(COUNTIF(DB_Paiements!B:B,A145)=0,"",LOOKUP(2,1/(DB_Paiements!B:B=A145),DB_Paiements!E:E))</f>
        <v>45846</v>
      </c>
      <c r="N145" s="162" t="str" cm="1">
        <f t="array" ref="N145">IF(COUNTIF(DB_Paiements!B:B,A145)=0,"",LOOKUP(2,1/(DB_Paiements!B:B=A145),DB_Paiements!G:G))</f>
        <v>CNAM</v>
      </c>
      <c r="O145" s="162" cm="1">
        <f t="array" ref="O145">IF(COUNTIF(DB_Paiements!B:B,A145)=0,"",LOOKUP(2,1/(DB_Paiements!B:B=A145),DB_Paiements!F:F))</f>
        <v>2580</v>
      </c>
      <c r="P145" s="160"/>
      <c r="Q145" s="162">
        <f ca="1">IF(M145&lt;&gt;"",TODAY()-M145,"")</f>
        <v>49</v>
      </c>
      <c r="R145" s="162" t="str">
        <f>VLOOKUP(VLOOKUP(A145,DB_Locations!A:C,3,FALSE),DB_Appareils!A:F,6,FALSE)</f>
        <v xml:space="preserve">En location </v>
      </c>
      <c r="S145" s="162" t="str">
        <f>VLOOKUP(A145,DB_Locations!A:I,9,FALSE)</f>
        <v>Actif</v>
      </c>
      <c r="T145" s="162"/>
      <c r="U145" s="162"/>
      <c r="V145" s="164" t="str">
        <f ca="1">IF(U145&lt;&gt;"",TODAY()-U145,"")</f>
        <v/>
      </c>
      <c r="W145" s="164"/>
    </row>
    <row r="146" spans="1:23" x14ac:dyDescent="0.25">
      <c r="A146" s="162" t="s">
        <v>1519</v>
      </c>
      <c r="B146" s="162" t="str">
        <f>VLOOKUP(VLOOKUP(A146,DB_Locations!A:B,2,FALSE),DB_Patients!A:B,2,FALSE)</f>
        <v>BOUHLEL SAMIR</v>
      </c>
      <c r="C146" s="162" t="str">
        <f>VLOOKUP(VLOOKUP(A146,DB_Locations!A:B,2,FALSE),DB_Patients!A:H,8,FALSE)&amp;IF(VLOOKUP(VLOOKUP(A146,DB_Locations!A:B,2,FALSE),DB_Patients!A:I,9,FALSE)&lt;&gt;""," ("&amp;VLOOKUP(VLOOKUP(A146,DB_Locations!A:B,2,FALSE),DB_Patients!A:I,9,FALSE)&amp;")","")</f>
        <v>24808671</v>
      </c>
      <c r="D146" s="162" t="str">
        <f>VLOOKUP(VLOOKUP(A146,DB_Locations!A:B,2,FALSE),DB_Patients!A:J,10,FALSE)&amp;" ("&amp;VLOOKUP(VLOOKUP(A146,DB_Locations!A:B,2,FALSE),DB_Patients!A:K,11,FALSE)&amp;")"</f>
        <v xml:space="preserve"> ()</v>
      </c>
      <c r="E146" s="162" t="str">
        <f>VLOOKUP(VLOOKUP(A146,DB_Locations!A:B,2,FALSE),DB_Patients!A:F,6,FALSE)</f>
        <v>MSAKEN</v>
      </c>
      <c r="F146" s="162" t="str">
        <f>VLOOKUP(VLOOKUP(A146,DB_Locations!A:B,2,FALSE),DB_Patients!A:M,13,FALSE)</f>
        <v>ESPECE</v>
      </c>
      <c r="G146" s="162" t="str">
        <f>VLOOKUP(VLOOKUP(A146,DB_Locations!A:B,2,FALSE),DB_Patients!A:L,12,FALSE)</f>
        <v>***</v>
      </c>
      <c r="H146" s="162" t="str">
        <f>VLOOKUP(A146,DB_Locations!A:F,6,FALSE)</f>
        <v>ACHRAF MLAYAH</v>
      </c>
      <c r="I146" s="162">
        <f>VLOOKUP(A146,DB_Locations!A:G,7,FALSE)</f>
        <v>0</v>
      </c>
      <c r="J146" s="162" t="str">
        <f>VLOOKUP(VLOOKUP(A146,DB_Locations!A:C,3,FALSE),DB_Appareils!A:B,2,FALSE)</f>
        <v>LIT MEDICAL ELECTRIQUE</v>
      </c>
      <c r="K146" s="161">
        <f>VLOOKUP(A146,DB_Locations!A:D,4,FALSE)</f>
        <v>45881</v>
      </c>
      <c r="L146" s="161" cm="1">
        <f t="array" ref="L146">IF(COUNTIF(DB_Paiements!B:B,A146)=0,"",LOOKUP(2,1/(DB_Paiements!B:B=A146),DB_Paiements!D:D))</f>
        <v>45881</v>
      </c>
      <c r="M146" s="161" cm="1">
        <f t="array" ref="M146">IF(COUNTIF(DB_Paiements!B:B,A146)=0,"",LOOKUP(2,1/(DB_Paiements!B:B=A146),DB_Paiements!E:E))</f>
        <v>45896</v>
      </c>
      <c r="N146" s="162" t="str" cm="1">
        <f t="array" ref="N146">IF(COUNTIF(DB_Paiements!B:B,A146)=0,"",LOOKUP(2,1/(DB_Paiements!B:B=A146),DB_Paiements!G:G))</f>
        <v>ESPECE</v>
      </c>
      <c r="O146" s="162" cm="1">
        <f t="array" ref="O146">IF(COUNTIF(DB_Paiements!B:B,A146)=0,"",LOOKUP(2,1/(DB_Paiements!B:B=A146),DB_Paiements!F:F))</f>
        <v>250</v>
      </c>
      <c r="P146" s="160"/>
      <c r="Q146" s="162">
        <f t="shared" ref="Q138:Q152" ca="1" si="2">IF(M146&lt;&gt;"",TODAY()-M146,"")</f>
        <v>-1</v>
      </c>
      <c r="R146" s="162" t="str">
        <f>VLOOKUP(VLOOKUP(A146,DB_Locations!A:C,3,FALSE),DB_Appareils!A:F,6,FALSE)</f>
        <v>STOCK BUREAU</v>
      </c>
      <c r="S146" s="162" t="str">
        <f>VLOOKUP(A146,DB_Locations!A:I,9,FALSE)</f>
        <v>ACTIF</v>
      </c>
      <c r="T146" s="162"/>
      <c r="U146" s="162"/>
      <c r="V146" s="164" t="str">
        <f t="shared" ref="V144:V146" ca="1" si="3">IF(U146&lt;&gt;"",TODAY()-U146,"")</f>
        <v/>
      </c>
      <c r="W146" s="164"/>
    </row>
    <row r="147" spans="1:23" x14ac:dyDescent="0.25">
      <c r="A147" s="162" t="s">
        <v>1520</v>
      </c>
      <c r="B147" s="162" t="str">
        <f>VLOOKUP(VLOOKUP(A147,DB_Locations!A:B,2,FALSE),DB_Patients!A:B,2,FALSE)</f>
        <v>HNAIEN ABDELFATTEH</v>
      </c>
      <c r="C147" s="162" t="str">
        <f>VLOOKUP(VLOOKUP(A147,DB_Locations!A:B,2,FALSE),DB_Patients!A:H,8,FALSE)&amp;IF(VLOOKUP(VLOOKUP(A147,DB_Locations!A:B,2,FALSE),DB_Patients!A:I,9,FALSE)&lt;&gt;""," ("&amp;VLOOKUP(VLOOKUP(A147,DB_Locations!A:B,2,FALSE),DB_Patients!A:I,9,FALSE)&amp;")","")</f>
        <v>26842826</v>
      </c>
      <c r="D147" s="162" t="str">
        <f>VLOOKUP(VLOOKUP(A147,DB_Locations!A:B,2,FALSE),DB_Patients!A:J,10,FALSE)&amp;" ("&amp;VLOOKUP(VLOOKUP(A147,DB_Locations!A:B,2,FALSE),DB_Patients!A:K,11,FALSE)&amp;")"</f>
        <v>29854246 ()</v>
      </c>
      <c r="E147" s="162" t="str">
        <f>VLOOKUP(VLOOKUP(A147,DB_Locations!A:B,2,FALSE),DB_Patients!A:F,6,FALSE)</f>
        <v>KSSOUR ESSEF</v>
      </c>
      <c r="F147" s="162" t="str">
        <f>VLOOKUP(VLOOKUP(A147,DB_Locations!A:B,2,FALSE),DB_Patients!A:M,13,FALSE)</f>
        <v>ESPECE</v>
      </c>
      <c r="G147" s="162" t="str">
        <f>VLOOKUP(VLOOKUP(A147,DB_Locations!A:B,2,FALSE),DB_Patients!A:L,12,FALSE)</f>
        <v>WAHID BRAHEM</v>
      </c>
      <c r="H147" s="162" t="str">
        <f>VLOOKUP(A147,DB_Locations!A:F,6,FALSE)</f>
        <v>KARIM</v>
      </c>
      <c r="I147" s="162">
        <f>VLOOKUP(A147,DB_Locations!A:G,7,FALSE)</f>
        <v>0</v>
      </c>
      <c r="J147" s="162" t="str">
        <f>VLOOKUP(VLOOKUP(A147,DB_Locations!A:C,3,FALSE),DB_Appareils!A:B,2,FALSE)</f>
        <v>VNI</v>
      </c>
      <c r="K147" s="161">
        <f>VLOOKUP(A147,DB_Locations!A:D,4,FALSE)</f>
        <v>45873</v>
      </c>
      <c r="L147" s="161" cm="1">
        <f t="array" ref="L147">IF(COUNTIF(DB_Paiements!B:B,A147)=0,"",LOOKUP(2,1/(DB_Paiements!B:B=A147),DB_Paiements!D:D))</f>
        <v>45873</v>
      </c>
      <c r="M147" s="161" cm="1">
        <f t="array" ref="M147">IF(COUNTIF(DB_Paiements!B:B,A147)=0,"",LOOKUP(2,1/(DB_Paiements!B:B=A147),DB_Paiements!E:E))</f>
        <v>45904</v>
      </c>
      <c r="N147" s="162" t="str" cm="1">
        <f t="array" ref="N147">IF(COUNTIF(DB_Paiements!B:B,A147)=0,"",LOOKUP(2,1/(DB_Paiements!B:B=A147),DB_Paiements!G:G))</f>
        <v>ESPECE</v>
      </c>
      <c r="O147" s="162" cm="1">
        <f t="array" ref="O147">IF(COUNTIF(DB_Paiements!B:B,A147)=0,"",LOOKUP(2,1/(DB_Paiements!B:B=A147),DB_Paiements!F:F))</f>
        <v>450</v>
      </c>
      <c r="P147" s="160"/>
      <c r="Q147" s="162">
        <f t="shared" ca="1" si="2"/>
        <v>-9</v>
      </c>
      <c r="R147" s="162" t="str">
        <f>VLOOKUP(VLOOKUP(A147,DB_Locations!A:C,3,FALSE),DB_Appareils!A:F,6,FALSE)</f>
        <v>En location</v>
      </c>
      <c r="S147" s="162" t="str">
        <f>VLOOKUP(A147,DB_Locations!A:I,9,FALSE)</f>
        <v>ACTIF</v>
      </c>
      <c r="T147" s="162"/>
      <c r="U147" s="162"/>
      <c r="V147" s="162"/>
      <c r="W147" s="164"/>
    </row>
    <row r="148" spans="1:23" x14ac:dyDescent="0.25">
      <c r="A148" s="162" t="s">
        <v>1521</v>
      </c>
      <c r="B148" s="162" t="str">
        <f>VLOOKUP(VLOOKUP(A148,DB_Locations!A:B,2,FALSE),DB_Patients!A:B,2,FALSE)</f>
        <v>SEBAI KAHIA</v>
      </c>
      <c r="C148" s="162" t="str">
        <f>VLOOKUP(VLOOKUP(A148,DB_Locations!A:B,2,FALSE),DB_Patients!A:H,8,FALSE)&amp;IF(VLOOKUP(VLOOKUP(A148,DB_Locations!A:B,2,FALSE),DB_Patients!A:I,9,FALSE)&lt;&gt;""," ("&amp;VLOOKUP(VLOOKUP(A148,DB_Locations!A:B,2,FALSE),DB_Patients!A:I,9,FALSE)&amp;")","")</f>
        <v>25830356</v>
      </c>
      <c r="D148" s="162" t="str">
        <f>VLOOKUP(VLOOKUP(A148,DB_Locations!A:B,2,FALSE),DB_Patients!A:J,10,FALSE)&amp;" ("&amp;VLOOKUP(VLOOKUP(A148,DB_Locations!A:B,2,FALSE),DB_Patients!A:K,11,FALSE)&amp;")"</f>
        <v>213550733130 ()</v>
      </c>
      <c r="E148" s="162" t="str">
        <f>VLOOKUP(VLOOKUP(A148,DB_Locations!A:B,2,FALSE),DB_Patients!A:F,6,FALSE)</f>
        <v>SOUSSE</v>
      </c>
      <c r="F148" s="162" t="str">
        <f>VLOOKUP(VLOOKUP(A148,DB_Locations!A:B,2,FALSE),DB_Patients!A:M,13,FALSE)</f>
        <v>ESPECE</v>
      </c>
      <c r="G148" s="162" t="str">
        <f>VLOOKUP(VLOOKUP(A148,DB_Locations!A:B,2,FALSE),DB_Patients!A:L,12,FALSE)</f>
        <v>ABDELHAMID GARROUCH</v>
      </c>
      <c r="H148" s="162" t="str">
        <f>VLOOKUP(A148,DB_Locations!A:F,6,FALSE)</f>
        <v>ACHRAF MLAYAH</v>
      </c>
      <c r="I148" s="162">
        <f>VLOOKUP(A148,DB_Locations!A:G,7,FALSE)</f>
        <v>0</v>
      </c>
      <c r="J148" s="162" t="str">
        <f>VLOOKUP(VLOOKUP(A148,DB_Locations!A:C,3,FALSE),DB_Appareils!A:B,2,FALSE)</f>
        <v>CPAP Titration</v>
      </c>
      <c r="K148" s="161">
        <f>VLOOKUP(A148,DB_Locations!A:D,4,FALSE)</f>
        <v>45882</v>
      </c>
      <c r="L148" s="161" cm="1">
        <f t="array" ref="L148">IF(COUNTIF(DB_Paiements!B:B,A148)=0,"",LOOKUP(2,1/(DB_Paiements!B:B=A148),DB_Paiements!D:D))</f>
        <v>45882</v>
      </c>
      <c r="M148" s="161" cm="1">
        <f t="array" ref="M148">IF(COUNTIF(DB_Paiements!B:B,A148)=0,"",LOOKUP(2,1/(DB_Paiements!B:B=A148),DB_Paiements!E:E))</f>
        <v>45912</v>
      </c>
      <c r="N148" s="162" t="str" cm="1">
        <f t="array" ref="N148">IF(COUNTIF(DB_Paiements!B:B,A148)=0,"",LOOKUP(2,1/(DB_Paiements!B:B=A148),DB_Paiements!G:G))</f>
        <v>ESPECE</v>
      </c>
      <c r="O148" s="162" cm="1">
        <f t="array" ref="O148">IF(COUNTIF(DB_Paiements!B:B,A148)=0,"",LOOKUP(2,1/(DB_Paiements!B:B=A148),DB_Paiements!F:F))</f>
        <v>500</v>
      </c>
      <c r="P148" s="160"/>
      <c r="Q148" s="162">
        <f t="shared" ca="1" si="2"/>
        <v>-17</v>
      </c>
      <c r="R148" s="162" t="str">
        <f>VLOOKUP(VLOOKUP(A148,DB_Locations!A:C,3,FALSE),DB_Appareils!A:F,6,FALSE)</f>
        <v xml:space="preserve">En location </v>
      </c>
      <c r="S148" s="162" t="str">
        <f>VLOOKUP(A148,DB_Locations!A:I,9,FALSE)</f>
        <v>ACTIF</v>
      </c>
      <c r="T148" s="162"/>
      <c r="U148" s="162"/>
      <c r="V148" s="162"/>
      <c r="W148" s="164"/>
    </row>
    <row r="149" spans="1:23" x14ac:dyDescent="0.25">
      <c r="A149" s="162" t="s">
        <v>1522</v>
      </c>
      <c r="B149" s="162" t="str">
        <f>VLOOKUP(VLOOKUP(A149,DB_Locations!A:B,2,FALSE),DB_Patients!A:B,2,FALSE)</f>
        <v>MESSOUD MOUNIR</v>
      </c>
      <c r="C149" s="162" t="str">
        <f>VLOOKUP(VLOOKUP(A149,DB_Locations!A:B,2,FALSE),DB_Patients!A:H,8,FALSE)&amp;IF(VLOOKUP(VLOOKUP(A149,DB_Locations!A:B,2,FALSE),DB_Patients!A:I,9,FALSE)&lt;&gt;""," ("&amp;VLOOKUP(VLOOKUP(A149,DB_Locations!A:B,2,FALSE),DB_Patients!A:I,9,FALSE)&amp;")","")</f>
        <v>54609373</v>
      </c>
      <c r="D149" s="162" t="str">
        <f>VLOOKUP(VLOOKUP(A149,DB_Locations!A:B,2,FALSE),DB_Patients!A:J,10,FALSE)&amp;" ("&amp;VLOOKUP(VLOOKUP(A149,DB_Locations!A:B,2,FALSE),DB_Patients!A:K,11,FALSE)&amp;")"</f>
        <v xml:space="preserve"> ()</v>
      </c>
      <c r="E149" s="162" t="str">
        <f>VLOOKUP(VLOOKUP(A149,DB_Locations!A:B,2,FALSE),DB_Patients!A:F,6,FALSE)</f>
        <v>SOUSSE</v>
      </c>
      <c r="F149" s="162" t="str">
        <f>VLOOKUP(VLOOKUP(A149,DB_Locations!A:B,2,FALSE),DB_Patients!A:M,13,FALSE)</f>
        <v>ESPECE</v>
      </c>
      <c r="G149" s="162" t="str">
        <f>VLOOKUP(VLOOKUP(A149,DB_Locations!A:B,2,FALSE),DB_Patients!A:L,12,FALSE)</f>
        <v>ABDELHAMID GARROUCH</v>
      </c>
      <c r="H149" s="162" t="str">
        <f>VLOOKUP(A149,DB_Locations!A:F,6,FALSE)</f>
        <v>KARIM</v>
      </c>
      <c r="I149" s="162">
        <f>VLOOKUP(A149,DB_Locations!A:G,7,FALSE)</f>
        <v>0</v>
      </c>
      <c r="J149" s="162" t="str">
        <f>VLOOKUP(VLOOKUP(A149,DB_Locations!A:C,3,FALSE),DB_Appareils!A:B,2,FALSE)</f>
        <v>VNI</v>
      </c>
      <c r="K149" s="161">
        <f>VLOOKUP(A149,DB_Locations!A:D,4,FALSE)</f>
        <v>45883</v>
      </c>
      <c r="L149" s="161" cm="1">
        <f t="array" ref="L149">IF(COUNTIF(DB_Paiements!B:B,A149)=0,"",LOOKUP(2,1/(DB_Paiements!B:B=A149),DB_Paiements!D:D))</f>
        <v>45883</v>
      </c>
      <c r="M149" s="161" cm="1">
        <f t="array" ref="M149">IF(COUNTIF(DB_Paiements!B:B,A149)=0,"",LOOKUP(2,1/(DB_Paiements!B:B=A149),DB_Paiements!E:E))</f>
        <v>45896</v>
      </c>
      <c r="N149" s="162" t="str" cm="1">
        <f t="array" ref="N149">IF(COUNTIF(DB_Paiements!B:B,A149)=0,"",LOOKUP(2,1/(DB_Paiements!B:B=A149),DB_Paiements!G:G))</f>
        <v>ESPECE</v>
      </c>
      <c r="O149" s="162" cm="1">
        <f t="array" ref="O149">IF(COUNTIF(DB_Paiements!B:B,A149)=0,"",LOOKUP(2,1/(DB_Paiements!B:B=A149),DB_Paiements!F:F))</f>
        <v>500</v>
      </c>
      <c r="P149" s="160"/>
      <c r="Q149" s="162">
        <f t="shared" ca="1" si="2"/>
        <v>-1</v>
      </c>
      <c r="R149" s="162" t="str">
        <f>VLOOKUP(VLOOKUP(A149,DB_Locations!A:C,3,FALSE),DB_Appareils!A:F,6,FALSE)</f>
        <v>En location</v>
      </c>
      <c r="S149" s="162" t="str">
        <f>VLOOKUP(A149,DB_Locations!A:I,9,FALSE)</f>
        <v>ACTIF</v>
      </c>
      <c r="T149" s="162"/>
      <c r="U149" s="162"/>
      <c r="V149" s="164" t="str">
        <f ca="1">IF(U149&lt;&gt;"",TODAY()-U149,"")</f>
        <v/>
      </c>
      <c r="W149" s="164"/>
    </row>
    <row r="150" spans="1:23" x14ac:dyDescent="0.25">
      <c r="A150" s="162" t="s">
        <v>1523</v>
      </c>
      <c r="B150" s="162" t="str">
        <f>VLOOKUP(VLOOKUP(A150,DB_Locations!A:B,2,FALSE),DB_Patients!A:B,2,FALSE)</f>
        <v>OUNI NEJMA</v>
      </c>
      <c r="C150" s="162" t="str">
        <f>VLOOKUP(VLOOKUP(A150,DB_Locations!A:B,2,FALSE),DB_Patients!A:H,8,FALSE)&amp;IF(VLOOKUP(VLOOKUP(A150,DB_Locations!A:B,2,FALSE),DB_Patients!A:I,9,FALSE)&lt;&gt;""," ("&amp;VLOOKUP(VLOOKUP(A150,DB_Locations!A:B,2,FALSE),DB_Patients!A:I,9,FALSE)&amp;")","")</f>
        <v>56880678 (RIM)</v>
      </c>
      <c r="D150" s="162" t="str">
        <f>VLOOKUP(VLOOKUP(A150,DB_Locations!A:B,2,FALSE),DB_Patients!A:J,10,FALSE)&amp;" ("&amp;VLOOKUP(VLOOKUP(A150,DB_Locations!A:B,2,FALSE),DB_Patients!A:K,11,FALSE)&amp;")"</f>
        <v>23780642 (RIM)</v>
      </c>
      <c r="E150" s="162" t="str">
        <f>VLOOKUP(VLOOKUP(A150,DB_Locations!A:B,2,FALSE),DB_Patients!A:F,6,FALSE)</f>
        <v>SOUSSE</v>
      </c>
      <c r="F150" s="162" t="str">
        <f>VLOOKUP(VLOOKUP(A150,DB_Locations!A:B,2,FALSE),DB_Patients!A:M,13,FALSE)</f>
        <v>ESPECE</v>
      </c>
      <c r="G150" s="162" t="str">
        <f>VLOOKUP(VLOOKUP(A150,DB_Locations!A:B,2,FALSE),DB_Patients!A:L,12,FALSE)</f>
        <v>AMENI MOKNI</v>
      </c>
      <c r="H150" s="162" t="str">
        <f>VLOOKUP(A150,DB_Locations!A:F,6,FALSE)</f>
        <v>BILEL BOUHLEL</v>
      </c>
      <c r="I150" s="162">
        <f>VLOOKUP(A150,DB_Locations!A:G,7,FALSE)</f>
        <v>0</v>
      </c>
      <c r="J150" s="162" t="str">
        <f>VLOOKUP(VLOOKUP(A150,DB_Locations!A:C,3,FALSE),DB_Appareils!A:B,2,FALSE)</f>
        <v xml:space="preserve">CONCENTRATEUR O2 </v>
      </c>
      <c r="K150" s="161">
        <f>VLOOKUP(A150,DB_Locations!A:D,4,FALSE)</f>
        <v>45884</v>
      </c>
      <c r="L150" s="161" cm="1">
        <f t="array" ref="L150">IF(COUNTIF(DB_Paiements!B:B,A150)=0,"",LOOKUP(2,1/(DB_Paiements!B:B=A150),DB_Paiements!D:D))</f>
        <v>45884</v>
      </c>
      <c r="M150" s="161" cm="1">
        <f t="array" ref="M150">IF(COUNTIF(DB_Paiements!B:B,A150)=0,"",LOOKUP(2,1/(DB_Paiements!B:B=A150),DB_Paiements!E:E))</f>
        <v>45914</v>
      </c>
      <c r="N150" s="162" t="str" cm="1">
        <f t="array" ref="N150">IF(COUNTIF(DB_Paiements!B:B,A150)=0,"",LOOKUP(2,1/(DB_Paiements!B:B=A150),DB_Paiements!G:G))</f>
        <v>ESPECE</v>
      </c>
      <c r="O150" s="162" cm="1">
        <f t="array" ref="O150">IF(COUNTIF(DB_Paiements!B:B,A150)=0,"",LOOKUP(2,1/(DB_Paiements!B:B=A150),DB_Paiements!F:F))</f>
        <v>250</v>
      </c>
      <c r="P150" s="160"/>
      <c r="Q150" s="162">
        <f t="shared" ca="1" si="2"/>
        <v>-19</v>
      </c>
      <c r="R150" s="162" t="str">
        <f>VLOOKUP(VLOOKUP(A150,DB_Locations!A:C,3,FALSE),DB_Appareils!A:F,6,FALSE)</f>
        <v>En location</v>
      </c>
      <c r="S150" s="162" t="str">
        <f>VLOOKUP(A150,DB_Locations!A:I,9,FALSE)</f>
        <v>ACTIF</v>
      </c>
      <c r="T150" s="162"/>
      <c r="U150" s="162"/>
      <c r="V150" s="162"/>
      <c r="W150" s="164"/>
    </row>
    <row r="151" spans="1:23" x14ac:dyDescent="0.25">
      <c r="A151" s="162" t="s">
        <v>1524</v>
      </c>
      <c r="B151" s="162" t="str">
        <f>VLOOKUP(VLOOKUP(A151,DB_Locations!A:B,2,FALSE),DB_Patients!A:B,2,FALSE)</f>
        <v>OUNI NEJMA</v>
      </c>
      <c r="C151" s="162" t="str">
        <f>VLOOKUP(VLOOKUP(A151,DB_Locations!A:B,2,FALSE),DB_Patients!A:H,8,FALSE)&amp;IF(VLOOKUP(VLOOKUP(A151,DB_Locations!A:B,2,FALSE),DB_Patients!A:I,9,FALSE)&lt;&gt;""," ("&amp;VLOOKUP(VLOOKUP(A151,DB_Locations!A:B,2,FALSE),DB_Patients!A:I,9,FALSE)&amp;")","")</f>
        <v>56880678 (RIM)</v>
      </c>
      <c r="D151" s="162" t="str">
        <f>VLOOKUP(VLOOKUP(A151,DB_Locations!A:B,2,FALSE),DB_Patients!A:J,10,FALSE)&amp;" ("&amp;VLOOKUP(VLOOKUP(A151,DB_Locations!A:B,2,FALSE),DB_Patients!A:K,11,FALSE)&amp;")"</f>
        <v>23780642 (RIM)</v>
      </c>
      <c r="E151" s="162" t="str">
        <f>VLOOKUP(VLOOKUP(A151,DB_Locations!A:B,2,FALSE),DB_Patients!A:F,6,FALSE)</f>
        <v>SOUSSE</v>
      </c>
      <c r="F151" s="162" t="str">
        <f>VLOOKUP(VLOOKUP(A151,DB_Locations!A:B,2,FALSE),DB_Patients!A:M,13,FALSE)</f>
        <v>ESPECE</v>
      </c>
      <c r="G151" s="162" t="str">
        <f>VLOOKUP(VLOOKUP(A151,DB_Locations!A:B,2,FALSE),DB_Patients!A:L,12,FALSE)</f>
        <v>AMENI MOKNI</v>
      </c>
      <c r="H151" s="162" t="str">
        <f>VLOOKUP(A151,DB_Locations!A:F,6,FALSE)</f>
        <v>BILEL BOUHLEL</v>
      </c>
      <c r="I151" s="162">
        <f>VLOOKUP(A151,DB_Locations!A:G,7,FALSE)</f>
        <v>0</v>
      </c>
      <c r="J151" s="162" t="str">
        <f>VLOOKUP(VLOOKUP(A151,DB_Locations!A:C,3,FALSE),DB_Appareils!A:B,2,FALSE)</f>
        <v>BOUTEIL O2</v>
      </c>
      <c r="K151" s="161">
        <f>VLOOKUP(A151,DB_Locations!A:D,4,FALSE)</f>
        <v>45884</v>
      </c>
      <c r="L151" s="161" cm="1">
        <f t="array" ref="L151">IF(COUNTIF(DB_Paiements!B:B,A151)=0,"",LOOKUP(2,1/(DB_Paiements!B:B=A151),DB_Paiements!D:D))</f>
        <v>45884</v>
      </c>
      <c r="M151" s="161" cm="1">
        <f t="array" ref="M151">IF(COUNTIF(DB_Paiements!B:B,A151)=0,"",LOOKUP(2,1/(DB_Paiements!B:B=A151),DB_Paiements!E:E))</f>
        <v>45914</v>
      </c>
      <c r="N151" s="162" t="str" cm="1">
        <f t="array" ref="N151">IF(COUNTIF(DB_Paiements!B:B,A151)=0,"",LOOKUP(2,1/(DB_Paiements!B:B=A151),DB_Paiements!G:G))</f>
        <v>ESPECE</v>
      </c>
      <c r="O151" s="162" cm="1">
        <f t="array" ref="O151">IF(COUNTIF(DB_Paiements!B:B,A151)=0,"",LOOKUP(2,1/(DB_Paiements!B:B=A151),DB_Paiements!F:F))</f>
        <v>180</v>
      </c>
      <c r="P151" s="160"/>
      <c r="Q151" s="162">
        <f t="shared" ca="1" si="2"/>
        <v>-19</v>
      </c>
      <c r="R151" s="162" t="str">
        <f>VLOOKUP(VLOOKUP(A151,DB_Locations!A:C,3,FALSE),DB_Appareils!A:F,6,FALSE)</f>
        <v>EN LOCATION</v>
      </c>
      <c r="S151" s="162" t="str">
        <f>VLOOKUP(A151,DB_Locations!A:I,9,FALSE)</f>
        <v>ACTIF</v>
      </c>
      <c r="T151" s="162"/>
      <c r="U151" s="162"/>
      <c r="V151" s="162"/>
      <c r="W151" s="164"/>
    </row>
    <row r="152" spans="1:23" x14ac:dyDescent="0.25">
      <c r="A152" s="162" t="s">
        <v>1525</v>
      </c>
      <c r="B152" s="162" t="str">
        <f>VLOOKUP(VLOOKUP(A152,DB_Locations!A:B,2,FALSE),DB_Patients!A:B,2,FALSE)</f>
        <v>KHENITECH ZOHRA</v>
      </c>
      <c r="C152" s="162" t="str">
        <f>VLOOKUP(VLOOKUP(A152,DB_Locations!A:B,2,FALSE),DB_Patients!A:H,8,FALSE)&amp;IF(VLOOKUP(VLOOKUP(A152,DB_Locations!A:B,2,FALSE),DB_Patients!A:I,9,FALSE)&lt;&gt;""," ("&amp;VLOOKUP(VLOOKUP(A152,DB_Locations!A:B,2,FALSE),DB_Patients!A:I,9,FALSE)&amp;")","")</f>
        <v>23861798 (HICHEM)</v>
      </c>
      <c r="D152" s="162" t="str">
        <f>VLOOKUP(VLOOKUP(A152,DB_Locations!A:B,2,FALSE),DB_Patients!A:J,10,FALSE)&amp;" ("&amp;VLOOKUP(VLOOKUP(A152,DB_Locations!A:B,2,FALSE),DB_Patients!A:K,11,FALSE)&amp;")"</f>
        <v>97699991 (HICHEM)</v>
      </c>
      <c r="E152" s="162" t="str">
        <f>VLOOKUP(VLOOKUP(A152,DB_Locations!A:B,2,FALSE),DB_Patients!A:F,6,FALSE)</f>
        <v>KALAA KEBIRA</v>
      </c>
      <c r="F152" s="162" t="str">
        <f>VLOOKUP(VLOOKUP(A152,DB_Locations!A:B,2,FALSE),DB_Patients!A:M,13,FALSE)</f>
        <v>ESPECE</v>
      </c>
      <c r="G152" s="162" t="str">
        <f>VLOOKUP(VLOOKUP(A152,DB_Locations!A:B,2,FALSE),DB_Patients!A:L,12,FALSE)</f>
        <v>ABDELAZIZ HAYOUNI</v>
      </c>
      <c r="H152" s="162" t="str">
        <f>VLOOKUP(A152,DB_Locations!A:F,6,FALSE)</f>
        <v>KARIM</v>
      </c>
      <c r="I152" s="162">
        <f>VLOOKUP(A152,DB_Locations!A:G,7,FALSE)</f>
        <v>45892</v>
      </c>
      <c r="J152" s="162" t="str">
        <f>VLOOKUP(VLOOKUP(A152,DB_Locations!A:C,3,FALSE),DB_Appareils!A:B,2,FALSE)</f>
        <v>CONCENTRATEUR O2</v>
      </c>
      <c r="K152" s="161">
        <f>VLOOKUP(A152,DB_Locations!A:D,4,FALSE)</f>
        <v>45886</v>
      </c>
      <c r="L152" s="161" cm="1">
        <f t="array" ref="L152">IF(COUNTIF(DB_Paiements!B:B,A152)=0,"",LOOKUP(2,1/(DB_Paiements!B:B=A152),DB_Paiements!D:D))</f>
        <v>45886</v>
      </c>
      <c r="M152" s="161" cm="1">
        <f t="array" ref="M152">IF(COUNTIF(DB_Paiements!B:B,A152)=0,"",LOOKUP(2,1/(DB_Paiements!B:B=A152),DB_Paiements!E:E))</f>
        <v>45916</v>
      </c>
      <c r="N152" s="162" t="str" cm="1">
        <f t="array" ref="N152">IF(COUNTIF(DB_Paiements!B:B,A152)=0,"",LOOKUP(2,1/(DB_Paiements!B:B=A152),DB_Paiements!G:G))</f>
        <v>ESPECE</v>
      </c>
      <c r="O152" s="162" cm="1">
        <f t="array" ref="O152">IF(COUNTIF(DB_Paiements!B:B,A152)=0,"",LOOKUP(2,1/(DB_Paiements!B:B=A152),DB_Paiements!F:F))</f>
        <v>200</v>
      </c>
      <c r="P152" s="160"/>
      <c r="Q152" s="162">
        <f t="shared" ca="1" si="2"/>
        <v>-21</v>
      </c>
      <c r="R152" s="162" t="str">
        <f>VLOOKUP(VLOOKUP(A152,DB_Locations!A:C,3,FALSE),DB_Appareils!A:F,6,FALSE)</f>
        <v>STOCK BUREAU</v>
      </c>
      <c r="S152" s="162" t="str">
        <f>VLOOKUP(A152,DB_Locations!A:I,9,FALSE)</f>
        <v>ACTIF</v>
      </c>
      <c r="T152" s="162"/>
      <c r="U152" s="162"/>
      <c r="V152" s="162"/>
      <c r="W152" s="164"/>
    </row>
    <row r="153" spans="1:23" hidden="1" x14ac:dyDescent="0.25">
      <c r="A153" s="162" t="s">
        <v>1526</v>
      </c>
      <c r="B153" s="162" t="str">
        <f>VLOOKUP(VLOOKUP(A153,DB_Locations!A:B,2,FALSE),DB_Patients!A:B,2,FALSE)</f>
        <v>BEN AMEUR ALI</v>
      </c>
      <c r="C153" s="162" t="str">
        <f>VLOOKUP(VLOOKUP(A153,DB_Locations!A:B,2,FALSE),DB_Patients!A:H,8,FALSE)&amp;IF(VLOOKUP(VLOOKUP(A153,DB_Locations!A:B,2,FALSE),DB_Patients!A:I,9,FALSE)&lt;&gt;""," ("&amp;VLOOKUP(VLOOKUP(A153,DB_Locations!A:B,2,FALSE),DB_Patients!A:I,9,FALSE)&amp;")","")</f>
        <v>23784605 (97180282)</v>
      </c>
      <c r="D153" s="162" t="str">
        <f>VLOOKUP(VLOOKUP(A153,DB_Locations!A:B,2,FALSE),DB_Patients!A:J,10,FALSE)&amp;" ("&amp;VLOOKUP(VLOOKUP(A153,DB_Locations!A:B,2,FALSE),DB_Patients!A:K,11,FALSE)&amp;")"</f>
        <v>98684211 (99601080)</v>
      </c>
      <c r="E153" s="162"/>
      <c r="F153" s="162" t="str">
        <f>VLOOKUP(VLOOKUP(A153,DB_Locations!A:B,2,FALSE),DB_Patients!A:M,13,FALSE)</f>
        <v>CNAM</v>
      </c>
      <c r="G153" s="162" t="str">
        <f>VLOOKUP(VLOOKUP(A153,DB_Locations!A:B,2,FALSE),DB_Patients!A:L,12,FALSE)</f>
        <v>ITEB BEN LIMAM</v>
      </c>
      <c r="H153" s="162" t="str">
        <f>VLOOKUP(A153,DB_Locations!A:F,6,FALSE)</f>
        <v>GAITH</v>
      </c>
      <c r="I153" s="162">
        <f>VLOOKUP(A153,DB_Locations!A:G,7,FALSE)</f>
        <v>0</v>
      </c>
      <c r="J153" s="162" t="str">
        <f>VLOOKUP(VLOOKUP(A153,DB_Locations!A:C,3,FALSE),DB_Appareils!A:B,2,FALSE)</f>
        <v>BOUTEIL O2</v>
      </c>
      <c r="K153" s="161">
        <f>VLOOKUP(A153,DB_Locations!A:D,4,FALSE)</f>
        <v>45890</v>
      </c>
      <c r="L153" s="161" cm="1">
        <f t="array" ref="L153">IF(COUNTIF(DB_Paiements!B:B,A153)=0,"",LOOKUP(2,1/(DB_Paiements!B:B=A153),DB_Paiements!D:D))</f>
        <v>45890</v>
      </c>
      <c r="M153" s="161" cm="1">
        <f t="array" ref="M153">IF(COUNTIF(DB_Paiements!B:B,A153)=0,"",LOOKUP(2,1/(DB_Paiements!B:B=A153),DB_Paiements!E:E))</f>
        <v>45891</v>
      </c>
      <c r="N153" s="162" t="str" cm="1">
        <f t="array" ref="N153">IF(COUNTIF(DB_Paiements!B:B,A153)=0,"",LOOKUP(2,1/(DB_Paiements!B:B=A153),DB_Paiements!G:G))</f>
        <v>ESPECE</v>
      </c>
      <c r="O153" s="162" cm="1">
        <f t="array" ref="O153">IF(COUNTIF(DB_Paiements!B:B,A153)=0,"",LOOKUP(2,1/(DB_Paiements!B:B=A153),DB_Paiements!F:F))</f>
        <v>70</v>
      </c>
      <c r="P153" s="161"/>
      <c r="Q153" s="162">
        <f t="shared" ref="Q153:Q154" ca="1" si="4">IF(M153&lt;&gt;"",TODAY()-M153,"")</f>
        <v>4</v>
      </c>
      <c r="R153" s="162" t="str">
        <f>VLOOKUP(VLOOKUP(A153,DB_Locations!A:C,3,FALSE),DB_Appareils!A:F,6,FALSE)</f>
        <v>EN LOCATION</v>
      </c>
      <c r="S153" s="162" t="str">
        <f>VLOOKUP(A153,DB_Locations!A:I,9,FALSE)</f>
        <v>ANNULER</v>
      </c>
      <c r="T153" s="162"/>
      <c r="U153" s="162"/>
      <c r="V153" s="162"/>
      <c r="W153" s="164"/>
    </row>
    <row r="154" spans="1:23" x14ac:dyDescent="0.25">
      <c r="A154" s="162" t="s">
        <v>1527</v>
      </c>
      <c r="B154" s="162" t="str">
        <f>VLOOKUP(VLOOKUP(A154,DB_Locations!A:B,2,FALSE),DB_Patients!A:B,2,FALSE)</f>
        <v>BOUJOMAA BRAHIM</v>
      </c>
      <c r="C154" s="162" t="str">
        <f>VLOOKUP(VLOOKUP(A154,DB_Locations!A:B,2,FALSE),DB_Patients!A:H,8,FALSE)&amp;IF(VLOOKUP(VLOOKUP(A154,DB_Locations!A:B,2,FALSE),DB_Patients!A:I,9,FALSE)&lt;&gt;""," ("&amp;VLOOKUP(VLOOKUP(A154,DB_Locations!A:B,2,FALSE),DB_Patients!A:I,9,FALSE)&amp;")","")</f>
        <v>26081331</v>
      </c>
      <c r="D154" s="162" t="str">
        <f>VLOOKUP(VLOOKUP(A154,DB_Locations!A:B,2,FALSE),DB_Patients!A:J,10,FALSE)&amp;" ("&amp;VLOOKUP(VLOOKUP(A154,DB_Locations!A:B,2,FALSE),DB_Patients!A:K,11,FALSE)&amp;")"</f>
        <v xml:space="preserve"> ()</v>
      </c>
      <c r="E154" s="162" t="str">
        <f>VLOOKUP(VLOOKUP(A154,DB_Locations!A:B,2,FALSE),DB_Patients!A:F,6,FALSE)</f>
        <v>HAMMEM SOUSSE</v>
      </c>
      <c r="F154" s="162" t="str">
        <f>VLOOKUP(VLOOKUP(A154,DB_Locations!A:B,2,FALSE),DB_Patients!A:M,13,FALSE)</f>
        <v>ESPECE</v>
      </c>
      <c r="G154" s="162" t="str">
        <f>VLOOKUP(VLOOKUP(A154,DB_Locations!A:B,2,FALSE),DB_Patients!A:L,12,FALSE)</f>
        <v>ABDELHAMID GARROUCH</v>
      </c>
      <c r="H154" s="162" t="str">
        <f>VLOOKUP(A154,DB_Locations!A:F,6,FALSE)</f>
        <v>KARIM</v>
      </c>
      <c r="I154" s="162">
        <f>VLOOKUP(A154,DB_Locations!A:G,7,FALSE)</f>
        <v>0</v>
      </c>
      <c r="J154" s="162" t="str">
        <f>VLOOKUP(VLOOKUP(A154,DB_Locations!A:C,3,FALSE),DB_Appareils!A:B,2,FALSE)</f>
        <v>CONCENTRATEUR O2</v>
      </c>
      <c r="K154" s="161">
        <f>VLOOKUP(A154,DB_Locations!A:D,4,FALSE)</f>
        <v>45889</v>
      </c>
      <c r="L154" s="161" cm="1">
        <f t="array" ref="L154">IF(COUNTIF(DB_Paiements!B:B,A154)=0,"",LOOKUP(2,1/(DB_Paiements!B:B=A154),DB_Paiements!D:D))</f>
        <v>45889</v>
      </c>
      <c r="M154" s="161" cm="1">
        <f t="array" ref="M154">IF(COUNTIF(DB_Paiements!B:B,A154)=0,"",LOOKUP(2,1/(DB_Paiements!B:B=A154),DB_Paiements!E:E))</f>
        <v>45904</v>
      </c>
      <c r="N154" s="162" t="str" cm="1">
        <f t="array" ref="N154">IF(COUNTIF(DB_Paiements!B:B,A154)=0,"",LOOKUP(2,1/(DB_Paiements!B:B=A154),DB_Paiements!G:G))</f>
        <v>ESPECE</v>
      </c>
      <c r="O154" s="162" cm="1">
        <f t="array" ref="O154">IF(COUNTIF(DB_Paiements!B:B,A154)=0,"",LOOKUP(2,1/(DB_Paiements!B:B=A154),DB_Paiements!F:F))</f>
        <v>200</v>
      </c>
      <c r="P154" s="160"/>
      <c r="Q154" s="162">
        <f t="shared" ca="1" si="4"/>
        <v>-9</v>
      </c>
      <c r="R154" s="162" t="str">
        <f>VLOOKUP(VLOOKUP(A154,DB_Locations!A:C,3,FALSE),DB_Appareils!A:F,6,FALSE)</f>
        <v>En location</v>
      </c>
      <c r="S154" s="162" t="str">
        <f>VLOOKUP(A154,DB_Locations!A:I,9,FALSE)</f>
        <v>ACTIF</v>
      </c>
      <c r="T154" s="162"/>
      <c r="U154" s="162"/>
      <c r="V154" s="162"/>
      <c r="W154" s="164"/>
    </row>
    <row r="155" spans="1:23" x14ac:dyDescent="0.25">
      <c r="A155" s="162" t="s">
        <v>1528</v>
      </c>
      <c r="B155" s="162" t="str">
        <f>VLOOKUP(VLOOKUP(A155,DB_Locations!A:B,2,FALSE),DB_Patients!A:B,2,FALSE)</f>
        <v>OTHMEN FITOURI</v>
      </c>
      <c r="C155" s="162" t="str">
        <f>VLOOKUP(VLOOKUP(A155,DB_Locations!A:B,2,FALSE),DB_Patients!A:H,8,FALSE)&amp;IF(VLOOKUP(VLOOKUP(A155,DB_Locations!A:B,2,FALSE),DB_Patients!A:I,9,FALSE)&lt;&gt;""," ("&amp;VLOOKUP(VLOOKUP(A155,DB_Locations!A:B,2,FALSE),DB_Patients!A:I,9,FALSE)&amp;")","")</f>
        <v>99969405 (20867218)</v>
      </c>
      <c r="D155" s="162" t="str">
        <f>VLOOKUP(VLOOKUP(A155,DB_Locations!A:B,2,FALSE),DB_Patients!A:J,10,FALSE)&amp;" ("&amp;VLOOKUP(VLOOKUP(A155,DB_Locations!A:B,2,FALSE),DB_Patients!A:K,11,FALSE)&amp;")"</f>
        <v>22133373 ()</v>
      </c>
      <c r="E155" s="162" t="str">
        <f>VLOOKUP(VLOOKUP(A155,DB_Locations!A:B,2,FALSE),DB_Patients!A:F,6,FALSE)</f>
        <v>TLELSSA</v>
      </c>
      <c r="F155" s="162" t="str">
        <f>VLOOKUP(VLOOKUP(A155,DB_Locations!A:B,2,FALSE),DB_Patients!A:M,13,FALSE)</f>
        <v>CNAM</v>
      </c>
      <c r="G155" s="162" t="str">
        <f>VLOOKUP(VLOOKUP(A155,DB_Locations!A:B,2,FALSE),DB_Patients!A:L,12,FALSE)</f>
        <v>WAHID BRAHEM</v>
      </c>
      <c r="H155" s="162" t="str">
        <f>VLOOKUP(A155,DB_Locations!A:F,6,FALSE)</f>
        <v>KARIM</v>
      </c>
      <c r="I155" s="162">
        <f>VLOOKUP(A155,DB_Locations!A:G,7,FALSE)</f>
        <v>0</v>
      </c>
      <c r="J155" s="162" t="str">
        <f>VLOOKUP(VLOOKUP(A155,DB_Locations!A:C,3,FALSE),DB_Appareils!A:B,2,FALSE)</f>
        <v>BOUTEIL O2</v>
      </c>
      <c r="K155" s="161">
        <f>VLOOKUP(A155,DB_Locations!A:D,4,FALSE)</f>
        <v>45833</v>
      </c>
      <c r="L155" s="161" cm="1">
        <f t="array" ref="L155">IF(COUNTIF(DB_Paiements!B:B,A155)=0,"",LOOKUP(2,1/(DB_Paiements!B:B=A155),DB_Paiements!D:D))</f>
        <v>45833</v>
      </c>
      <c r="M155" s="161" cm="1">
        <f t="array" ref="M155">IF(COUNTIF(DB_Paiements!B:B,A155)=0,"",LOOKUP(2,1/(DB_Paiements!B:B=A155),DB_Paiements!E:E))</f>
        <v>45833</v>
      </c>
      <c r="N155" s="162" t="str" cm="1">
        <f t="array" ref="N155">IF(COUNTIF(DB_Paiements!B:B,A155)=0,"",LOOKUP(2,1/(DB_Paiements!B:B=A155),DB_Paiements!G:G))</f>
        <v>CNAM</v>
      </c>
      <c r="O155" s="162" cm="1">
        <f t="array" ref="O155">IF(COUNTIF(DB_Paiements!B:B,A155)=0,"",LOOKUP(2,1/(DB_Paiements!B:B=A155),DB_Paiements!F:F))</f>
        <v>60</v>
      </c>
      <c r="P155" s="160"/>
      <c r="Q155" s="162">
        <f t="shared" ref="Q155" ca="1" si="5">IF(M155&lt;&gt;"",TODAY()-M155,"")</f>
        <v>62</v>
      </c>
      <c r="R155" s="162" t="str">
        <f>VLOOKUP(VLOOKUP(A155,DB_Locations!A:C,3,FALSE),DB_Appareils!A:F,6,FALSE)</f>
        <v>EN LOCATION</v>
      </c>
      <c r="S155" s="162" t="str">
        <f>VLOOKUP(A155,DB_Locations!A:I,9,FALSE)</f>
        <v>ACTIF</v>
      </c>
      <c r="T155" s="162"/>
      <c r="U155" s="162"/>
      <c r="V155" s="164" t="str">
        <f ca="1">IF(U155&lt;&gt;"",TODAY()-U155,"")</f>
        <v/>
      </c>
      <c r="W155" s="164" t="s">
        <v>2131</v>
      </c>
    </row>
    <row r="156" spans="1:23" hidden="1" x14ac:dyDescent="0.25">
      <c r="A156" s="162" t="s">
        <v>1529</v>
      </c>
      <c r="B156" s="162" t="str">
        <f>VLOOKUP(VLOOKUP(A156,DB_Locations!A:B,2,FALSE),DB_Patients!A:B,2,FALSE)</f>
        <v>BEN FRADJ HAFEDH</v>
      </c>
      <c r="C156" s="162" t="str">
        <f>VLOOKUP(VLOOKUP(A156,DB_Locations!A:B,2,FALSE),DB_Patients!A:H,8,FALSE)&amp;IF(VLOOKUP(VLOOKUP(A156,DB_Locations!A:B,2,FALSE),DB_Patients!A:I,9,FALSE)&lt;&gt;""," ("&amp;VLOOKUP(VLOOKUP(A156,DB_Locations!A:B,2,FALSE),DB_Patients!A:I,9,FALSE)&amp;")","")</f>
        <v>27981046</v>
      </c>
      <c r="D156" s="162" t="str">
        <f>VLOOKUP(VLOOKUP(A156,DB_Locations!A:B,2,FALSE),DB_Patients!A:J,10,FALSE)&amp;" ("&amp;VLOOKUP(VLOOKUP(A156,DB_Locations!A:B,2,FALSE),DB_Patients!A:K,11,FALSE)&amp;")"</f>
        <v>58372996 (NOURA)</v>
      </c>
      <c r="E156" s="162"/>
      <c r="F156" s="162" t="str">
        <f>VLOOKUP(VLOOKUP(A156,DB_Locations!A:B,2,FALSE),DB_Patients!A:M,13,FALSE)</f>
        <v>ESPECE</v>
      </c>
      <c r="G156" s="162" t="str">
        <f>VLOOKUP(VLOOKUP(A156,DB_Locations!A:B,2,FALSE),DB_Patients!A:L,12,FALSE)</f>
        <v>***</v>
      </c>
      <c r="H156" s="162" t="str">
        <f>VLOOKUP(A156,DB_Locations!A:F,6,FALSE)</f>
        <v>GAITH</v>
      </c>
      <c r="I156" s="162">
        <f>VLOOKUP(A156,DB_Locations!A:G,7,FALSE)</f>
        <v>0</v>
      </c>
      <c r="J156" s="162" t="str">
        <f>VLOOKUP(VLOOKUP(A156,DB_Locations!A:C,3,FALSE),DB_Appareils!A:B,2,FALSE)</f>
        <v>BOUTEIL O2</v>
      </c>
      <c r="K156" s="161">
        <f>VLOOKUP(A156,DB_Locations!A:D,4,FALSE)</f>
        <v>45890</v>
      </c>
      <c r="L156" s="161" cm="1">
        <f t="array" ref="L156">IF(COUNTIF(DB_Paiements!B:B,A156)=0,"",LOOKUP(2,1/(DB_Paiements!B:B=A156),DB_Paiements!D:D))</f>
        <v>45890</v>
      </c>
      <c r="M156" s="161" cm="1">
        <f t="array" ref="M156">IF(COUNTIF(DB_Paiements!B:B,A156)=0,"",LOOKUP(2,1/(DB_Paiements!B:B=A156),DB_Paiements!E:E))</f>
        <v>45890</v>
      </c>
      <c r="N156" s="162" t="str" cm="1">
        <f t="array" ref="N156">IF(COUNTIF(DB_Paiements!B:B,A156)=0,"",LOOKUP(2,1/(DB_Paiements!B:B=A156),DB_Paiements!G:G))</f>
        <v>ESPECE</v>
      </c>
      <c r="O156" s="162" cm="1">
        <f t="array" ref="O156">IF(COUNTIF(DB_Paiements!B:B,A156)=0,"",LOOKUP(2,1/(DB_Paiements!B:B=A156),DB_Paiements!F:F))</f>
        <v>80</v>
      </c>
      <c r="P156" s="161"/>
      <c r="Q156" s="162">
        <f t="shared" ref="Q156:Q157" ca="1" si="6">IF(M156&lt;&gt;"",TODAY()-M156,"")</f>
        <v>5</v>
      </c>
      <c r="R156" s="162" t="str">
        <f>VLOOKUP(VLOOKUP(A156,DB_Locations!A:C,3,FALSE),DB_Appareils!A:F,6,FALSE)</f>
        <v>EN LOCATION</v>
      </c>
      <c r="S156" s="162" t="str">
        <f>VLOOKUP(A156,DB_Locations!A:I,9,FALSE)</f>
        <v>RETOUR</v>
      </c>
      <c r="T156" s="162"/>
      <c r="U156" s="162"/>
      <c r="V156" s="162"/>
      <c r="W156" s="164"/>
    </row>
    <row r="157" spans="1:23" x14ac:dyDescent="0.25">
      <c r="A157" s="162" t="s">
        <v>1530</v>
      </c>
      <c r="B157" s="162" t="str">
        <f>VLOOKUP(VLOOKUP(A157,DB_Locations!A:B,2,FALSE),DB_Patients!A:B,2,FALSE)</f>
        <v>ZBIBA MAHMOUD BEN MHAMED</v>
      </c>
      <c r="C157" s="162" t="str">
        <f>VLOOKUP(VLOOKUP(A157,DB_Locations!A:B,2,FALSE),DB_Patients!A:H,8,FALSE)&amp;IF(VLOOKUP(VLOOKUP(A157,DB_Locations!A:B,2,FALSE),DB_Patients!A:I,9,FALSE)&lt;&gt;""," ("&amp;VLOOKUP(VLOOKUP(A157,DB_Locations!A:B,2,FALSE),DB_Patients!A:I,9,FALSE)&amp;")","")</f>
        <v>97999947 (53124208)</v>
      </c>
      <c r="D157" s="162" t="str">
        <f>VLOOKUP(VLOOKUP(A157,DB_Locations!A:B,2,FALSE),DB_Patients!A:J,10,FALSE)&amp;" ("&amp;VLOOKUP(VLOOKUP(A157,DB_Locations!A:B,2,FALSE),DB_Patients!A:K,11,FALSE)&amp;")"</f>
        <v>27824610 ()</v>
      </c>
      <c r="E157" s="162" t="str">
        <f>VLOOKUP(VLOOKUP(A157,DB_Locations!A:B,2,FALSE),DB_Patients!A:F,6,FALSE)</f>
        <v>BEKALTA</v>
      </c>
      <c r="F157" s="162" t="str">
        <f>VLOOKUP(VLOOKUP(A157,DB_Locations!A:B,2,FALSE),DB_Patients!A:M,13,FALSE)</f>
        <v>CNAM</v>
      </c>
      <c r="G157" s="162" t="str">
        <f>VLOOKUP(VLOOKUP(A157,DB_Locations!A:B,2,FALSE),DB_Patients!A:L,12,FALSE)</f>
        <v>NABIL OMEZZINE</v>
      </c>
      <c r="H157" s="162" t="str">
        <f>VLOOKUP(A157,DB_Locations!A:F,6,FALSE)</f>
        <v>KARIM</v>
      </c>
      <c r="I157" s="162">
        <f>VLOOKUP(A157,DB_Locations!A:G,7,FALSE)</f>
        <v>0</v>
      </c>
      <c r="J157" s="162" t="str">
        <f>VLOOKUP(VLOOKUP(A157,DB_Locations!A:C,3,FALSE),DB_Appareils!A:B,2,FALSE)</f>
        <v>BOUTEIL O2</v>
      </c>
      <c r="K157" s="161">
        <f>VLOOKUP(A157,DB_Locations!A:D,4,FALSE)</f>
        <v>45615</v>
      </c>
      <c r="L157" s="161" t="str" cm="1">
        <f t="array" ref="L157">IF(COUNTIF(DB_Paiements!B:B,A157)=0,"",LOOKUP(2,1/(DB_Paiements!B:B=A157),DB_Paiements!D:D))</f>
        <v/>
      </c>
      <c r="M157" s="161" t="str" cm="1">
        <f t="array" ref="M157">IF(COUNTIF(DB_Paiements!B:B,A157)=0,"",LOOKUP(2,1/(DB_Paiements!B:B=A157),DB_Paiements!E:E))</f>
        <v/>
      </c>
      <c r="N157" s="162" t="str" cm="1">
        <f t="array" ref="N157">IF(COUNTIF(DB_Paiements!B:B,A157)=0,"",LOOKUP(2,1/(DB_Paiements!B:B=A157),DB_Paiements!G:G))</f>
        <v/>
      </c>
      <c r="O157" s="162" t="str" cm="1">
        <f t="array" ref="O157">IF(COUNTIF(DB_Paiements!B:B,A157)=0,"",LOOKUP(2,1/(DB_Paiements!B:B=A157),DB_Paiements!F:F))</f>
        <v/>
      </c>
      <c r="P157" s="160"/>
      <c r="Q157" s="162" t="str">
        <f t="shared" ca="1" si="6"/>
        <v/>
      </c>
      <c r="R157" s="162" t="str">
        <f>VLOOKUP(VLOOKUP(A157,DB_Locations!A:C,3,FALSE),DB_Appareils!A:F,6,FALSE)</f>
        <v>EN LOCATION</v>
      </c>
      <c r="S157" s="162" t="str">
        <f>VLOOKUP(A157,DB_Locations!A:I,9,FALSE)</f>
        <v>ACTIF</v>
      </c>
      <c r="T157" s="162"/>
      <c r="U157" s="162"/>
      <c r="V157" s="164" t="str">
        <f t="shared" ref="V157:V160" ca="1" si="7">IF(U157&lt;&gt;"",TODAY()-U157,"")</f>
        <v/>
      </c>
      <c r="W157" s="164"/>
    </row>
    <row r="158" spans="1:23" x14ac:dyDescent="0.25">
      <c r="A158" s="162" t="s">
        <v>1531</v>
      </c>
      <c r="B158" s="162" t="str">
        <f>VLOOKUP(VLOOKUP(A158,DB_Locations!A:B,2,FALSE),DB_Patients!A:B,2,FALSE)</f>
        <v>BEN LETAIEF MOHAMED SALAH</v>
      </c>
      <c r="C158" s="162" t="str">
        <f>VLOOKUP(VLOOKUP(A158,DB_Locations!A:B,2,FALSE),DB_Patients!A:H,8,FALSE)&amp;IF(VLOOKUP(VLOOKUP(A158,DB_Locations!A:B,2,FALSE),DB_Patients!A:I,9,FALSE)&lt;&gt;""," ("&amp;VLOOKUP(VLOOKUP(A158,DB_Locations!A:B,2,FALSE),DB_Patients!A:I,9,FALSE)&amp;")","")</f>
        <v>57035861 (SOUHIR SA FEMME)</v>
      </c>
      <c r="D158" s="162" t="str">
        <f>VLOOKUP(VLOOKUP(A158,DB_Locations!A:B,2,FALSE),DB_Patients!A:J,10,FALSE)&amp;" ("&amp;VLOOKUP(VLOOKUP(A158,DB_Locations!A:B,2,FALSE),DB_Patients!A:K,11,FALSE)&amp;")"</f>
        <v>97255194 (SA FEMME)</v>
      </c>
      <c r="E158" s="162" t="str">
        <f>VLOOKUP(VLOOKUP(A158,DB_Locations!A:B,2,FALSE),DB_Patients!A:F,6,FALSE)</f>
        <v>KALAA KEBIRA</v>
      </c>
      <c r="F158" s="162" t="str">
        <f>VLOOKUP(VLOOKUP(A158,DB_Locations!A:B,2,FALSE),DB_Patients!A:M,13,FALSE)</f>
        <v>CNAM</v>
      </c>
      <c r="G158" s="162" t="str">
        <f>VLOOKUP(VLOOKUP(A158,DB_Locations!A:B,2,FALSE),DB_Patients!A:L,12,FALSE)</f>
        <v xml:space="preserve">ASMA OMRANE </v>
      </c>
      <c r="H158" s="162" t="str">
        <f>VLOOKUP(A158,DB_Locations!A:F,6,FALSE)</f>
        <v>BILEL BOUHLEL</v>
      </c>
      <c r="I158" s="162" t="str">
        <f>VLOOKUP(A158,DB_Locations!A:G,7,FALSE)</f>
        <v>AHMED GAZZEH</v>
      </c>
      <c r="J158" s="162" t="str">
        <f>VLOOKUP(VLOOKUP(A158,DB_Locations!A:C,3,FALSE),DB_Appareils!A:B,2,FALSE)</f>
        <v>VNI</v>
      </c>
      <c r="K158" s="161">
        <f>VLOOKUP(A158,DB_Locations!A:D,4,FALSE)</f>
        <v>45891</v>
      </c>
      <c r="L158" s="161" cm="1">
        <f t="array" aca="1" ref="L158" ca="1">IF(COUNTIF(DB_Paiements!B:B,A158)=0,"",LOOKUP(2,1/(DB_Paiements!B:B=A158),DB_Paiements!D:D))</f>
        <v>45895</v>
      </c>
      <c r="M158" s="161" cm="1">
        <f t="array" ref="M158">IF(COUNTIF(DB_Paiements!B:B,A158)=0,"",LOOKUP(2,1/(DB_Paiements!B:B=A158),DB_Paiements!E:E))</f>
        <v>45891</v>
      </c>
      <c r="N158" s="162" t="str" cm="1">
        <f t="array" ref="N158">IF(COUNTIF(DB_Paiements!B:B,A158)=0,"",LOOKUP(2,1/(DB_Paiements!B:B=A158),DB_Paiements!G:G))</f>
        <v>CNAM</v>
      </c>
      <c r="O158" s="162" cm="1">
        <f t="array" aca="1" ref="O158" ca="1">IF(COUNTIF(DB_Paiements!B:B,A158)=0,"",LOOKUP(2,1/(DB_Paiements!B:B=A158),DB_Paiements!F:F))</f>
        <v>0</v>
      </c>
      <c r="P158" s="160"/>
      <c r="Q158" s="162">
        <f t="shared" ref="Q158:Q159" ca="1" si="8">IF(M158&lt;&gt;"",TODAY()-M158,"")</f>
        <v>4</v>
      </c>
      <c r="R158" s="162" t="str">
        <f>VLOOKUP(VLOOKUP(A158,DB_Locations!A:C,3,FALSE),DB_Appareils!A:F,6,FALSE)</f>
        <v>En location</v>
      </c>
      <c r="S158" s="162" t="str">
        <f>VLOOKUP(A158,DB_Locations!A:I,9,FALSE)</f>
        <v>ACTIF</v>
      </c>
      <c r="T158" s="162"/>
      <c r="U158" s="162"/>
      <c r="V158" s="164" t="str">
        <f t="shared" ca="1" si="7"/>
        <v/>
      </c>
      <c r="W158" s="164"/>
    </row>
    <row r="159" spans="1:23" x14ac:dyDescent="0.25">
      <c r="A159" s="162" t="s">
        <v>1532</v>
      </c>
      <c r="B159" s="162" t="str">
        <f>VLOOKUP(VLOOKUP(A159,DB_Locations!A:B,2,FALSE),DB_Patients!A:B,2,FALSE)</f>
        <v>NAFFATI NOUREDDINE</v>
      </c>
      <c r="C159" s="162" t="str">
        <f>VLOOKUP(VLOOKUP(A159,DB_Locations!A:B,2,FALSE),DB_Patients!A:H,8,FALSE)&amp;IF(VLOOKUP(VLOOKUP(A159,DB_Locations!A:B,2,FALSE),DB_Patients!A:I,9,FALSE)&lt;&gt;""," ("&amp;VLOOKUP(VLOOKUP(A159,DB_Locations!A:B,2,FALSE),DB_Patients!A:I,9,FALSE)&amp;")","")</f>
        <v>28695961 (SA FEMME)</v>
      </c>
      <c r="D159" s="162" t="str">
        <f>VLOOKUP(VLOOKUP(A159,DB_Locations!A:B,2,FALSE),DB_Patients!A:J,10,FALSE)&amp;" ("&amp;VLOOKUP(VLOOKUP(A159,DB_Locations!A:B,2,FALSE),DB_Patients!A:K,11,FALSE)&amp;")"</f>
        <v>25438330 (SON COUSIN)</v>
      </c>
      <c r="E159" s="162" t="str">
        <f>VLOOKUP(VLOOKUP(A159,DB_Locations!A:B,2,FALSE),DB_Patients!A:F,6,FALSE)</f>
        <v>ENFIDHA</v>
      </c>
      <c r="F159" s="162" t="str">
        <f>VLOOKUP(VLOOKUP(A159,DB_Locations!A:B,2,FALSE),DB_Patients!A:M,13,FALSE)</f>
        <v>CNAM</v>
      </c>
      <c r="G159" s="162" t="str">
        <f>VLOOKUP(VLOOKUP(A159,DB_Locations!A:B,2,FALSE),DB_Patients!A:L,12,FALSE)</f>
        <v>ITEB BEN LIMAM</v>
      </c>
      <c r="H159" s="162" t="str">
        <f>VLOOKUP(A159,DB_Locations!A:F,6,FALSE)</f>
        <v>BILEL BOUHLEL</v>
      </c>
      <c r="I159" s="162">
        <f>VLOOKUP(A159,DB_Locations!A:G,7,FALSE)</f>
        <v>0</v>
      </c>
      <c r="J159" s="162" t="str">
        <f>VLOOKUP(VLOOKUP(A159,DB_Locations!A:C,3,FALSE),DB_Appareils!A:B,2,FALSE)</f>
        <v>CONCENTRATEUR O2</v>
      </c>
      <c r="K159" s="161">
        <f>VLOOKUP(A159,DB_Locations!A:D,4,FALSE)</f>
        <v>45891</v>
      </c>
      <c r="L159" s="161" cm="1">
        <f t="array" aca="1" ref="L159" ca="1">IF(COUNTIF(DB_Paiements!B:B,A159)=0,"",LOOKUP(2,1/(DB_Paiements!B:B=A159),DB_Paiements!D:D))</f>
        <v>45895</v>
      </c>
      <c r="M159" s="161" cm="1">
        <f t="array" ref="M159">IF(COUNTIF(DB_Paiements!B:B,A159)=0,"",LOOKUP(2,1/(DB_Paiements!B:B=A159),DB_Paiements!E:E))</f>
        <v>45891</v>
      </c>
      <c r="N159" s="162" t="str" cm="1">
        <f t="array" ref="N159">IF(COUNTIF(DB_Paiements!B:B,A159)=0,"",LOOKUP(2,1/(DB_Paiements!B:B=A159),DB_Paiements!G:G))</f>
        <v>CNAM</v>
      </c>
      <c r="O159" s="162" cm="1">
        <f t="array" aca="1" ref="O159" ca="1">IF(COUNTIF(DB_Paiements!B:B,A159)=0,"",LOOKUP(2,1/(DB_Paiements!B:B=A159),DB_Paiements!F:F))</f>
        <v>0</v>
      </c>
      <c r="P159" s="160">
        <v>45902</v>
      </c>
      <c r="Q159" s="162">
        <f t="shared" ca="1" si="8"/>
        <v>4</v>
      </c>
      <c r="R159" s="162" t="str">
        <f>VLOOKUP(VLOOKUP(A159,DB_Locations!A:C,3,FALSE),DB_Appareils!A:F,6,FALSE)</f>
        <v>EN LOCATION</v>
      </c>
      <c r="S159" s="162" t="str">
        <f>VLOOKUP(A159,DB_Locations!A:I,9,FALSE)</f>
        <v>ACTIF</v>
      </c>
      <c r="T159" s="162"/>
      <c r="U159" s="162"/>
      <c r="V159" s="164" t="str">
        <f t="shared" ca="1" si="7"/>
        <v/>
      </c>
      <c r="W159" s="164" t="s">
        <v>2505</v>
      </c>
    </row>
    <row r="160" spans="1:23" x14ac:dyDescent="0.25">
      <c r="A160" s="162" t="s">
        <v>1533</v>
      </c>
      <c r="B160" s="162" t="str">
        <f>VLOOKUP(VLOOKUP(A160,DB_Locations!A:B,2,FALSE),DB_Patients!A:B,2,FALSE)</f>
        <v>NAFFATI NOUREDDINE</v>
      </c>
      <c r="C160" s="162" t="str">
        <f>VLOOKUP(VLOOKUP(A160,DB_Locations!A:B,2,FALSE),DB_Patients!A:H,8,FALSE)&amp;IF(VLOOKUP(VLOOKUP(A160,DB_Locations!A:B,2,FALSE),DB_Patients!A:I,9,FALSE)&lt;&gt;""," ("&amp;VLOOKUP(VLOOKUP(A160,DB_Locations!A:B,2,FALSE),DB_Patients!A:I,9,FALSE)&amp;")","")</f>
        <v>28695961 (SA FEMME)</v>
      </c>
      <c r="D160" s="162" t="str">
        <f>VLOOKUP(VLOOKUP(A160,DB_Locations!A:B,2,FALSE),DB_Patients!A:J,10,FALSE)&amp;" ("&amp;VLOOKUP(VLOOKUP(A160,DB_Locations!A:B,2,FALSE),DB_Patients!A:K,11,FALSE)&amp;")"</f>
        <v>25438330 (SON COUSIN)</v>
      </c>
      <c r="E160" s="162" t="str">
        <f>VLOOKUP(VLOOKUP(A160,DB_Locations!A:B,2,FALSE),DB_Patients!A:F,6,FALSE)</f>
        <v>ENFIDHA</v>
      </c>
      <c r="F160" s="162" t="str">
        <f>VLOOKUP(VLOOKUP(A160,DB_Locations!A:B,2,FALSE),DB_Patients!A:M,13,FALSE)</f>
        <v>CNAM</v>
      </c>
      <c r="G160" s="162" t="str">
        <f>VLOOKUP(VLOOKUP(A160,DB_Locations!A:B,2,FALSE),DB_Patients!A:L,12,FALSE)</f>
        <v>ITEB BEN LIMAM</v>
      </c>
      <c r="H160" s="162" t="str">
        <f>VLOOKUP(A160,DB_Locations!A:F,6,FALSE)</f>
        <v>BILEL BOUHLEL</v>
      </c>
      <c r="I160" s="162" t="str">
        <f>VLOOKUP(A160,DB_Locations!A:G,7,FALSE)</f>
        <v>AHMED GAZZEH</v>
      </c>
      <c r="J160" s="162" t="str">
        <f>VLOOKUP(VLOOKUP(A160,DB_Locations!A:C,3,FALSE),DB_Appareils!A:B,2,FALSE)</f>
        <v>BOUTEIL O2</v>
      </c>
      <c r="K160" s="161">
        <f>VLOOKUP(A160,DB_Locations!A:D,4,FALSE)</f>
        <v>45891</v>
      </c>
      <c r="L160" s="161" cm="1">
        <f t="array" aca="1" ref="L160" ca="1">IF(COUNTIF(DB_Paiements!B:B,A160)=0,"",LOOKUP(2,1/(DB_Paiements!B:B=A160),DB_Paiements!D:D))</f>
        <v>45895</v>
      </c>
      <c r="M160" s="161" cm="1">
        <f t="array" ref="M160">IF(COUNTIF(DB_Paiements!B:B,A160)=0,"",LOOKUP(2,1/(DB_Paiements!B:B=A160),DB_Paiements!E:E))</f>
        <v>45891</v>
      </c>
      <c r="N160" s="162" t="str" cm="1">
        <f t="array" ref="N160">IF(COUNTIF(DB_Paiements!B:B,A160)=0,"",LOOKUP(2,1/(DB_Paiements!B:B=A160),DB_Paiements!G:G))</f>
        <v>CHARGE</v>
      </c>
      <c r="O160" s="162" t="e" cm="1">
        <f t="array" aca="1" ref="O160" ca="1">IF(COUNTIF(DB_Paiements!B:B,A160)=0,"",LOOKUP(2,1/(DB_Paiements!B:B=A160),DB_Paiements!F:F))</f>
        <v>#VALUE!</v>
      </c>
      <c r="P160" s="160"/>
      <c r="Q160" s="162">
        <f t="shared" ref="Q160:Q161" ca="1" si="9">IF(M160&lt;&gt;"",TODAY()-M160,"")</f>
        <v>4</v>
      </c>
      <c r="R160" s="162" t="str">
        <f>VLOOKUP(VLOOKUP(A160,DB_Locations!A:C,3,FALSE),DB_Appareils!A:F,6,FALSE)</f>
        <v>EN LOCATION</v>
      </c>
      <c r="S160" s="162" t="str">
        <f>VLOOKUP(A160,DB_Locations!A:I,9,FALSE)</f>
        <v>ACTIF</v>
      </c>
      <c r="T160" s="162"/>
      <c r="U160" s="162"/>
      <c r="V160" s="164" t="str">
        <f t="shared" ca="1" si="7"/>
        <v/>
      </c>
      <c r="W160" s="164"/>
    </row>
    <row r="161" spans="1:23" hidden="1" x14ac:dyDescent="0.25">
      <c r="A161" s="162" t="s">
        <v>1534</v>
      </c>
      <c r="B161" s="162" t="str">
        <f>VLOOKUP(VLOOKUP(A161,DB_Locations!A:B,2,FALSE),DB_Patients!A:B,2,FALSE)</f>
        <v>CHTIOUI MOHAMED</v>
      </c>
      <c r="C161" s="162" t="str">
        <f>VLOOKUP(VLOOKUP(A161,DB_Locations!A:B,2,FALSE),DB_Patients!A:H,8,FALSE)&amp;IF(VLOOKUP(VLOOKUP(A161,DB_Locations!A:B,2,FALSE),DB_Patients!A:I,9,FALSE)&lt;&gt;""," ("&amp;VLOOKUP(VLOOKUP(A161,DB_Locations!A:B,2,FALSE),DB_Patients!A:I,9,FALSE)&amp;")","")</f>
        <v>25454637 (PERSONNEL)</v>
      </c>
      <c r="D161" s="162" t="str">
        <f>VLOOKUP(VLOOKUP(A161,DB_Locations!A:B,2,FALSE),DB_Patients!A:J,10,FALSE)&amp;" ("&amp;VLOOKUP(VLOOKUP(A161,DB_Locations!A:B,2,FALSE),DB_Patients!A:K,11,FALSE)&amp;")"</f>
        <v>21117640 (SA FILLE AIDA)</v>
      </c>
      <c r="E161" s="162"/>
      <c r="F161" s="162" t="str">
        <f>VLOOKUP(VLOOKUP(A161,DB_Locations!A:B,2,FALSE),DB_Patients!A:M,13,FALSE)</f>
        <v>CNAM</v>
      </c>
      <c r="G161" s="162" t="str">
        <f>VLOOKUP(VLOOKUP(A161,DB_Locations!A:B,2,FALSE),DB_Patients!A:L,12,FALSE)</f>
        <v>OTHMEN NAFFETY</v>
      </c>
      <c r="H161" s="162" t="str">
        <f>VLOOKUP(A161,DB_Locations!A:F,6,FALSE)</f>
        <v>SOUHAIEB BEN SAHRA</v>
      </c>
      <c r="I161" s="162">
        <f>VLOOKUP(A161,DB_Locations!A:G,7,FALSE)</f>
        <v>0</v>
      </c>
      <c r="J161" s="162" t="str">
        <f>VLOOKUP(VLOOKUP(A161,DB_Locations!A:C,3,FALSE),DB_Appareils!A:B,2,FALSE)</f>
        <v>CONCENTRATEUR O2</v>
      </c>
      <c r="K161" s="161">
        <f>VLOOKUP(A161,DB_Locations!A:D,4,FALSE)</f>
        <v>45751</v>
      </c>
      <c r="L161" s="161" cm="1">
        <f t="array" ref="L161">IF(COUNTIF(DB_Paiements!B:B,A161)=0,"",LOOKUP(2,1/(DB_Paiements!B:B=A161),DB_Paiements!D:D))</f>
        <v>45751</v>
      </c>
      <c r="M161" s="161" cm="1">
        <f t="array" ref="M161">IF(COUNTIF(DB_Paiements!B:B,A161)=0,"",LOOKUP(2,1/(DB_Paiements!B:B=A161),DB_Paiements!E:E))</f>
        <v>45841</v>
      </c>
      <c r="N161" s="162" t="str" cm="1">
        <f t="array" ref="N161">IF(COUNTIF(DB_Paiements!B:B,A161)=0,"",LOOKUP(2,1/(DB_Paiements!B:B=A161),DB_Paiements!G:G))</f>
        <v>CNAM</v>
      </c>
      <c r="O161" s="162" cm="1">
        <f t="array" ref="O161">IF(COUNTIF(DB_Paiements!B:B,A161)=0,"",LOOKUP(2,1/(DB_Paiements!B:B=A161),DB_Paiements!F:F))</f>
        <v>570</v>
      </c>
      <c r="P161" s="161"/>
      <c r="Q161" s="162">
        <f t="shared" ca="1" si="9"/>
        <v>54</v>
      </c>
      <c r="R161" s="162" t="str">
        <f>VLOOKUP(VLOOKUP(A161,DB_Locations!A:C,3,FALSE),DB_Appareils!A:F,6,FALSE)</f>
        <v>SOUHAIB</v>
      </c>
      <c r="S161" s="162" t="str">
        <f>VLOOKUP(A161,DB_Locations!A:I,9,FALSE)</f>
        <v>RETOUR</v>
      </c>
      <c r="T161" s="162"/>
      <c r="U161" s="162"/>
      <c r="V161" s="162"/>
      <c r="W161" s="164"/>
    </row>
    <row r="162" spans="1:23" x14ac:dyDescent="0.25">
      <c r="A162" s="162" t="s">
        <v>1535</v>
      </c>
      <c r="B162" s="162" t="str">
        <f>VLOOKUP(VLOOKUP(A162,DB_Locations!A:B,2,FALSE),DB_Patients!A:B,2,FALSE)</f>
        <v>CHTIOUI MOHAMED</v>
      </c>
      <c r="C162" s="162" t="str">
        <f>VLOOKUP(VLOOKUP(A162,DB_Locations!A:B,2,FALSE),DB_Patients!A:H,8,FALSE)&amp;IF(VLOOKUP(VLOOKUP(A162,DB_Locations!A:B,2,FALSE),DB_Patients!A:I,9,FALSE)&lt;&gt;""," ("&amp;VLOOKUP(VLOOKUP(A162,DB_Locations!A:B,2,FALSE),DB_Patients!A:I,9,FALSE)&amp;")","")</f>
        <v>25454637 (PERSONNEL)</v>
      </c>
      <c r="D162" s="162" t="str">
        <f>VLOOKUP(VLOOKUP(A162,DB_Locations!A:B,2,FALSE),DB_Patients!A:J,10,FALSE)&amp;" ("&amp;VLOOKUP(VLOOKUP(A162,DB_Locations!A:B,2,FALSE),DB_Patients!A:K,11,FALSE)&amp;")"</f>
        <v>21117640 (SA FILLE AIDA)</v>
      </c>
      <c r="E162" s="162" t="str">
        <f>VLOOKUP(VLOOKUP(A162,DB_Locations!A:B,2,FALSE),DB_Patients!A:F,6,FALSE)</f>
        <v>ZARZOUNA</v>
      </c>
      <c r="F162" s="162" t="str">
        <f>VLOOKUP(VLOOKUP(A162,DB_Locations!A:B,2,FALSE),DB_Patients!A:M,13,FALSE)</f>
        <v>CNAM</v>
      </c>
      <c r="G162" s="162" t="str">
        <f>VLOOKUP(VLOOKUP(A162,DB_Locations!A:B,2,FALSE),DB_Patients!A:L,12,FALSE)</f>
        <v>OTHMEN NAFFETY</v>
      </c>
      <c r="H162" s="162" t="str">
        <f>VLOOKUP(A162,DB_Locations!A:F,6,FALSE)</f>
        <v>SOUHAIEB BEN SAHRA</v>
      </c>
      <c r="I162" s="162">
        <f>VLOOKUP(A162,DB_Locations!A:G,7,FALSE)</f>
        <v>0</v>
      </c>
      <c r="J162" s="162" t="str">
        <f>VLOOKUP(VLOOKUP(A162,DB_Locations!A:C,3,FALSE),DB_Appareils!A:B,2,FALSE)</f>
        <v>VNI</v>
      </c>
      <c r="K162" s="161">
        <f>VLOOKUP(A162,DB_Locations!A:D,4,FALSE)</f>
        <v>45751</v>
      </c>
      <c r="L162" s="161" cm="1">
        <f t="array" ref="L162">IF(COUNTIF(DB_Paiements!B:B,A162)=0,"",LOOKUP(2,1/(DB_Paiements!B:B=A162),DB_Paiements!D:D))</f>
        <v>45751</v>
      </c>
      <c r="M162" s="161" cm="1">
        <f t="array" ref="M162">IF(COUNTIF(DB_Paiements!B:B,A162)=0,"",LOOKUP(2,1/(DB_Paiements!B:B=A162),DB_Paiements!E:E))</f>
        <v>45841</v>
      </c>
      <c r="N162" s="162" t="str" cm="1">
        <f t="array" ref="N162">IF(COUNTIF(DB_Paiements!B:B,A162)=0,"",LOOKUP(2,1/(DB_Paiements!B:B=A162),DB_Paiements!G:G))</f>
        <v>CNAM</v>
      </c>
      <c r="O162" s="162" cm="1">
        <f t="array" ref="O162">IF(COUNTIF(DB_Paiements!B:B,A162)=0,"",LOOKUP(2,1/(DB_Paiements!B:B=A162),DB_Paiements!F:F))</f>
        <v>1290</v>
      </c>
      <c r="P162" s="160"/>
      <c r="Q162" s="162">
        <f t="shared" ref="Q162" ca="1" si="10">IF(M162&lt;&gt;"",TODAY()-M162,"")</f>
        <v>54</v>
      </c>
      <c r="R162" s="162" t="str">
        <f>VLOOKUP(VLOOKUP(A162,DB_Locations!A:C,3,FALSE),DB_Appareils!A:F,6,FALSE)</f>
        <v>SOUHAIB</v>
      </c>
      <c r="S162" s="162" t="str">
        <f>VLOOKUP(A162,DB_Locations!A:I,9,FALSE)</f>
        <v>ACTIF</v>
      </c>
      <c r="T162" s="162"/>
      <c r="U162" s="162"/>
      <c r="V162" s="164" t="str">
        <f t="shared" ref="V162:V166" ca="1" si="11">IF(U162&lt;&gt;"",TODAY()-U162,"")</f>
        <v/>
      </c>
      <c r="W162" s="164" t="s">
        <v>2217</v>
      </c>
    </row>
    <row r="163" spans="1:23" x14ac:dyDescent="0.25">
      <c r="A163" s="162" t="s">
        <v>2222</v>
      </c>
      <c r="B163" s="162" t="str">
        <f>VLOOKUP(VLOOKUP(A163,DB_Locations!A:B,2,FALSE),DB_Patients!A:B,2,FALSE)</f>
        <v>DRIDI MANNOUBI</v>
      </c>
      <c r="C163" s="162" t="str">
        <f>VLOOKUP(VLOOKUP(A163,DB_Locations!A:B,2,FALSE),DB_Patients!A:H,8,FALSE)&amp;IF(VLOOKUP(VLOOKUP(A163,DB_Locations!A:B,2,FALSE),DB_Patients!A:I,9,FALSE)&lt;&gt;""," ("&amp;VLOOKUP(VLOOKUP(A163,DB_Locations!A:B,2,FALSE),DB_Patients!A:I,9,FALSE)&amp;")","")</f>
        <v>27516944 (PERSONNEL)</v>
      </c>
      <c r="D163" s="162" t="str">
        <f>VLOOKUP(VLOOKUP(A163,DB_Locations!A:B,2,FALSE),DB_Patients!A:J,10,FALSE)&amp;" ("&amp;VLOOKUP(VLOOKUP(A163,DB_Locations!A:B,2,FALSE),DB_Patients!A:K,11,FALSE)&amp;")"</f>
        <v>51977622 (SON FILS)</v>
      </c>
      <c r="E163" s="162" t="str">
        <f>VLOOKUP(VLOOKUP(A163,DB_Locations!A:B,2,FALSE),DB_Patients!A:F,6,FALSE)</f>
        <v>BIZERTE</v>
      </c>
      <c r="F163" s="162" t="str">
        <f>VLOOKUP(VLOOKUP(A163,DB_Locations!A:B,2,FALSE),DB_Patients!A:M,13,FALSE)</f>
        <v>CNAM</v>
      </c>
      <c r="G163" s="162" t="str">
        <f>VLOOKUP(VLOOKUP(A163,DB_Locations!A:B,2,FALSE),DB_Patients!A:L,12,FALSE)</f>
        <v>OTHMEN NAFFETY</v>
      </c>
      <c r="H163" s="162" t="str">
        <f>VLOOKUP(A163,DB_Locations!A:F,6,FALSE)</f>
        <v>SOUHAIEB BEN SAHRA</v>
      </c>
      <c r="I163" s="162">
        <f>VLOOKUP(A163,DB_Locations!A:G,7,FALSE)</f>
        <v>0</v>
      </c>
      <c r="J163" s="162" t="str">
        <f>VLOOKUP(VLOOKUP(A163,DB_Locations!A:C,3,FALSE),DB_Appareils!A:B,2,FALSE)</f>
        <v>VNI</v>
      </c>
      <c r="K163" s="161">
        <f>VLOOKUP(A163,DB_Locations!A:D,4,FALSE)</f>
        <v>45736</v>
      </c>
      <c r="L163" s="161" cm="1">
        <f t="array" ref="L163">IF(COUNTIF(DB_Paiements!B:B,A163)=0,"",LOOKUP(2,1/(DB_Paiements!B:B=A163),DB_Paiements!D:D))</f>
        <v>45736</v>
      </c>
      <c r="M163" s="161" cm="1">
        <f t="array" aca="1" ref="M163" ca="1">IF(COUNTIF(DB_Paiements!B:B,A163)=0,"",LOOKUP(2,1/(DB_Paiements!B:B=A163),DB_Paiements!E:E))</f>
        <v>45895</v>
      </c>
      <c r="N163" s="162" t="str" cm="1">
        <f t="array" ref="N163">IF(COUNTIF(DB_Paiements!B:B,A163)=0,"",LOOKUP(2,1/(DB_Paiements!B:B=A163),DB_Paiements!G:G))</f>
        <v>CNAM</v>
      </c>
      <c r="O163" s="162" cm="1">
        <f t="array" aca="1" ref="O163" ca="1">IF(COUNTIF(DB_Paiements!B:B,A163)=0,"",LOOKUP(2,1/(DB_Paiements!B:B=A163),DB_Paiements!F:F))</f>
        <v>2150</v>
      </c>
      <c r="P163" s="160"/>
      <c r="Q163" s="162">
        <f t="shared" ref="Q163" ca="1" si="12">IF(M163&lt;&gt;"",TODAY()-M163,"")</f>
        <v>0</v>
      </c>
      <c r="R163" s="162" t="str">
        <f>VLOOKUP(VLOOKUP(A163,DB_Locations!A:C,3,FALSE),DB_Appareils!A:F,6,FALSE)</f>
        <v>En location</v>
      </c>
      <c r="S163" s="162" t="str">
        <f>VLOOKUP(A163,DB_Locations!A:I,9,FALSE)</f>
        <v>ACTIF</v>
      </c>
      <c r="T163" s="162"/>
      <c r="U163" s="162"/>
      <c r="V163" s="164" t="str">
        <f t="shared" ca="1" si="11"/>
        <v/>
      </c>
      <c r="W163" s="164"/>
    </row>
    <row r="164" spans="1:23" x14ac:dyDescent="0.25">
      <c r="A164" s="162" t="s">
        <v>2223</v>
      </c>
      <c r="B164" s="162" t="str">
        <f>VLOOKUP(VLOOKUP(A164,DB_Locations!A:B,2,FALSE),DB_Patients!A:B,2,FALSE)</f>
        <v>BAYA KOCHBATI</v>
      </c>
      <c r="C164" s="162" t="str">
        <f>VLOOKUP(VLOOKUP(A164,DB_Locations!A:B,2,FALSE),DB_Patients!A:H,8,FALSE)&amp;IF(VLOOKUP(VLOOKUP(A164,DB_Locations!A:B,2,FALSE),DB_Patients!A:I,9,FALSE)&lt;&gt;""," ("&amp;VLOOKUP(VLOOKUP(A164,DB_Locations!A:B,2,FALSE),DB_Patients!A:I,9,FALSE)&amp;")","")</f>
        <v>26900213 (SA FILLE)</v>
      </c>
      <c r="D164" s="162" t="str">
        <f>VLOOKUP(VLOOKUP(A164,DB_Locations!A:B,2,FALSE),DB_Patients!A:J,10,FALSE)&amp;" ("&amp;VLOOKUP(VLOOKUP(A164,DB_Locations!A:B,2,FALSE),DB_Patients!A:K,11,FALSE)&amp;")"</f>
        <v>29547294 (SON FILS)</v>
      </c>
      <c r="E164" s="162" t="str">
        <f>VLOOKUP(VLOOKUP(A164,DB_Locations!A:B,2,FALSE),DB_Patients!A:F,6,FALSE)</f>
        <v>CITE MANAR</v>
      </c>
      <c r="F164" s="162" t="str">
        <f>VLOOKUP(VLOOKUP(A164,DB_Locations!A:B,2,FALSE),DB_Patients!A:M,13,FALSE)</f>
        <v>CNAM</v>
      </c>
      <c r="G164" s="162" t="str">
        <f>VLOOKUP(VLOOKUP(A164,DB_Locations!A:B,2,FALSE),DB_Patients!A:L,12,FALSE)</f>
        <v>AYMEN AYARI</v>
      </c>
      <c r="H164" s="162" t="str">
        <f>VLOOKUP(A164,DB_Locations!A:F,6,FALSE)</f>
        <v>SOUHAIEB BEN SAHRA</v>
      </c>
      <c r="I164" s="162">
        <f>VLOOKUP(A164,DB_Locations!A:G,7,FALSE)</f>
        <v>0</v>
      </c>
      <c r="J164" s="162" t="str">
        <f>VLOOKUP(VLOOKUP(A164,DB_Locations!A:C,3,FALSE),DB_Appareils!A:B,2,FALSE)</f>
        <v>VNI</v>
      </c>
      <c r="K164" s="161">
        <f>VLOOKUP(A164,DB_Locations!A:D,4,FALSE)</f>
        <v>45742</v>
      </c>
      <c r="L164" s="161" cm="1">
        <f t="array" ref="L164">IF(COUNTIF(DB_Paiements!B:B,A164)=0,"",LOOKUP(2,1/(DB_Paiements!B:B=A164),DB_Paiements!D:D))</f>
        <v>45742</v>
      </c>
      <c r="M164" s="161" cm="1">
        <f t="array" aca="1" ref="M164" ca="1">IF(COUNTIF(DB_Paiements!B:B,A164)=0,"",LOOKUP(2,1/(DB_Paiements!B:B=A164),DB_Paiements!E:E))</f>
        <v>45895</v>
      </c>
      <c r="N164" s="162" t="str" cm="1">
        <f t="array" ref="N164">IF(COUNTIF(DB_Paiements!B:B,A164)=0,"",LOOKUP(2,1/(DB_Paiements!B:B=A164),DB_Paiements!G:G))</f>
        <v>CNAM</v>
      </c>
      <c r="O164" s="162" cm="1">
        <f t="array" aca="1" ref="O164" ca="1">IF(COUNTIF(DB_Paiements!B:B,A164)=0,"",LOOKUP(2,1/(DB_Paiements!B:B=A164),DB_Paiements!F:F))</f>
        <v>2150</v>
      </c>
      <c r="P164" s="160"/>
      <c r="Q164" s="162">
        <f t="shared" ref="Q164:Q168" ca="1" si="13">IF(M164&lt;&gt;"",TODAY()-M164,"")</f>
        <v>0</v>
      </c>
      <c r="R164" s="162" t="str">
        <f>VLOOKUP(VLOOKUP(A164,DB_Locations!A:C,3,FALSE),DB_Appareils!A:F,6,FALSE)</f>
        <v>En location</v>
      </c>
      <c r="S164" s="162" t="str">
        <f>VLOOKUP(A164,DB_Locations!A:I,9,FALSE)</f>
        <v>ACTIF</v>
      </c>
      <c r="T164" s="162"/>
      <c r="U164" s="162"/>
      <c r="V164" s="164" t="str">
        <f t="shared" ca="1" si="11"/>
        <v/>
      </c>
      <c r="W164" s="164"/>
    </row>
    <row r="165" spans="1:23" x14ac:dyDescent="0.25">
      <c r="A165" s="162" t="s">
        <v>2224</v>
      </c>
      <c r="B165" s="162" t="str">
        <f>VLOOKUP(VLOOKUP(A165,DB_Locations!A:B,2,FALSE),DB_Patients!A:B,2,FALSE)</f>
        <v>NAHDI ALI</v>
      </c>
      <c r="C165" s="162" t="str">
        <f>VLOOKUP(VLOOKUP(A165,DB_Locations!A:B,2,FALSE),DB_Patients!A:H,8,FALSE)&amp;IF(VLOOKUP(VLOOKUP(A165,DB_Locations!A:B,2,FALSE),DB_Patients!A:I,9,FALSE)&lt;&gt;""," ("&amp;VLOOKUP(VLOOKUP(A165,DB_Locations!A:B,2,FALSE),DB_Patients!A:I,9,FALSE)&amp;")","")</f>
        <v>27036817 (PERSONNEL)</v>
      </c>
      <c r="D165" s="162" t="str">
        <f>VLOOKUP(VLOOKUP(A165,DB_Locations!A:B,2,FALSE),DB_Patients!A:J,10,FALSE)&amp;" ("&amp;VLOOKUP(VLOOKUP(A165,DB_Locations!A:B,2,FALSE),DB_Patients!A:K,11,FALSE)&amp;")"</f>
        <v>21347385 (SA FEMME)</v>
      </c>
      <c r="E165" s="162" t="str">
        <f>VLOOKUP(VLOOKUP(A165,DB_Locations!A:B,2,FALSE),DB_Patients!A:F,6,FALSE)</f>
        <v>MANZEL BOURGUIBA</v>
      </c>
      <c r="F165" s="162" t="str">
        <f>VLOOKUP(VLOOKUP(A165,DB_Locations!A:B,2,FALSE),DB_Patients!A:M,13,FALSE)</f>
        <v>CNAM</v>
      </c>
      <c r="G165" s="162" t="str">
        <f>VLOOKUP(VLOOKUP(A165,DB_Locations!A:B,2,FALSE),DB_Patients!A:L,12,FALSE)</f>
        <v>OTHMEN NAFFETY</v>
      </c>
      <c r="H165" s="162" t="str">
        <f>VLOOKUP(A165,DB_Locations!A:F,6,FALSE)</f>
        <v>SOUHAIEB BEN SAHRA</v>
      </c>
      <c r="I165" s="162">
        <f>VLOOKUP(A165,DB_Locations!A:G,7,FALSE)</f>
        <v>0</v>
      </c>
      <c r="J165" s="162" t="str">
        <f>VLOOKUP(VLOOKUP(A165,DB_Locations!A:C,3,FALSE),DB_Appareils!A:B,2,FALSE)</f>
        <v>CONCENTRATEUR O2</v>
      </c>
      <c r="K165" s="161">
        <f>VLOOKUP(A165,DB_Locations!A:D,4,FALSE)</f>
        <v>45797</v>
      </c>
      <c r="L165" s="161" cm="1">
        <f t="array" ref="L165">IF(COUNTIF(DB_Paiements!B:B,A165)=0,"",LOOKUP(2,1/(DB_Paiements!B:B=A165),DB_Paiements!D:D))</f>
        <v>45803</v>
      </c>
      <c r="M165" s="161" cm="1">
        <f t="array" ref="M165">IF(COUNTIF(DB_Paiements!B:B,A165)=0,"",LOOKUP(2,1/(DB_Paiements!B:B=A165),DB_Paiements!E:E))</f>
        <v>45894</v>
      </c>
      <c r="N165" s="162" t="str" cm="1">
        <f t="array" ref="N165">IF(COUNTIF(DB_Paiements!B:B,A165)=0,"",LOOKUP(2,1/(DB_Paiements!B:B=A165),DB_Paiements!G:G))</f>
        <v>CNAM</v>
      </c>
      <c r="O165" s="162" cm="1">
        <f t="array" ref="O165">IF(COUNTIF(DB_Paiements!B:B,A165)=0,"",LOOKUP(2,1/(DB_Paiements!B:B=A165),DB_Paiements!F:F))</f>
        <v>570</v>
      </c>
      <c r="P165" s="160"/>
      <c r="Q165" s="162">
        <f t="shared" ca="1" si="13"/>
        <v>1</v>
      </c>
      <c r="R165" s="162" t="str">
        <f>VLOOKUP(VLOOKUP(A165,DB_Locations!A:C,3,FALSE),DB_Appareils!A:F,6,FALSE)</f>
        <v>En location</v>
      </c>
      <c r="S165" s="162" t="str">
        <f>VLOOKUP(A165,DB_Locations!A:I,9,FALSE)</f>
        <v>ACTIF</v>
      </c>
      <c r="T165" s="162"/>
      <c r="U165" s="162"/>
      <c r="V165" s="164" t="str">
        <f t="shared" ca="1" si="11"/>
        <v/>
      </c>
      <c r="W165" s="164"/>
    </row>
    <row r="166" spans="1:23" x14ac:dyDescent="0.25">
      <c r="A166" s="162" t="s">
        <v>2225</v>
      </c>
      <c r="B166" s="162" t="str">
        <f>VLOOKUP(VLOOKUP(A166,DB_Locations!A:B,2,FALSE),DB_Patients!A:B,2,FALSE)</f>
        <v>DJEMILI MOHAMED</v>
      </c>
      <c r="C166" s="162" t="str">
        <f>VLOOKUP(VLOOKUP(A166,DB_Locations!A:B,2,FALSE),DB_Patients!A:H,8,FALSE)&amp;IF(VLOOKUP(VLOOKUP(A166,DB_Locations!A:B,2,FALSE),DB_Patients!A:I,9,FALSE)&lt;&gt;""," ("&amp;VLOOKUP(VLOOKUP(A166,DB_Locations!A:B,2,FALSE),DB_Patients!A:I,9,FALSE)&amp;")","")</f>
        <v>24133957 (SON FILS)</v>
      </c>
      <c r="D166" s="162" t="str">
        <f>VLOOKUP(VLOOKUP(A166,DB_Locations!A:B,2,FALSE),DB_Patients!A:J,10,FALSE)&amp;" ("&amp;VLOOKUP(VLOOKUP(A166,DB_Locations!A:B,2,FALSE),DB_Patients!A:K,11,FALSE)&amp;")"</f>
        <v xml:space="preserve"> ()</v>
      </c>
      <c r="E166" s="162" t="str">
        <f>VLOOKUP(VLOOKUP(A166,DB_Locations!A:B,2,FALSE),DB_Patients!A:F,6,FALSE)</f>
        <v>MANZEL BOURGUIBA</v>
      </c>
      <c r="F166" s="162" t="str">
        <f>VLOOKUP(VLOOKUP(A166,DB_Locations!A:B,2,FALSE),DB_Patients!A:M,13,FALSE)</f>
        <v>CNAM</v>
      </c>
      <c r="G166" s="162" t="str">
        <f>VLOOKUP(VLOOKUP(A166,DB_Locations!A:B,2,FALSE),DB_Patients!A:L,12,FALSE)</f>
        <v>OTHMEN NAFFETY</v>
      </c>
      <c r="H166" s="162" t="str">
        <f>VLOOKUP(A166,DB_Locations!A:F,6,FALSE)</f>
        <v>SOUHAIEB BEN SAHRA</v>
      </c>
      <c r="I166" s="162">
        <f>VLOOKUP(A166,DB_Locations!A:G,7,FALSE)</f>
        <v>0</v>
      </c>
      <c r="J166" s="162" t="str">
        <f>VLOOKUP(VLOOKUP(A166,DB_Locations!A:C,3,FALSE),DB_Appareils!A:B,2,FALSE)</f>
        <v>VNI</v>
      </c>
      <c r="K166" s="161">
        <f>VLOOKUP(A166,DB_Locations!A:D,4,FALSE)</f>
        <v>45796</v>
      </c>
      <c r="L166" s="161" cm="1">
        <f t="array" ref="L166">IF(COUNTIF(DB_Paiements!B:B,A166)=0,"",LOOKUP(2,1/(DB_Paiements!B:B=A166),DB_Paiements!D:D))</f>
        <v>45803</v>
      </c>
      <c r="M166" s="161" cm="1">
        <f t="array" ref="M166">IF(COUNTIF(DB_Paiements!B:B,A166)=0,"",LOOKUP(2,1/(DB_Paiements!B:B=A166),DB_Paiements!E:E))</f>
        <v>45894</v>
      </c>
      <c r="N166" s="162" t="str" cm="1">
        <f t="array" ref="N166">IF(COUNTIF(DB_Paiements!B:B,A166)=0,"",LOOKUP(2,1/(DB_Paiements!B:B=A166),DB_Paiements!G:G))</f>
        <v>CNAM</v>
      </c>
      <c r="O166" s="162" cm="1">
        <f t="array" ref="O166">IF(COUNTIF(DB_Paiements!B:B,A166)=0,"",LOOKUP(2,1/(DB_Paiements!B:B=A166),DB_Paiements!F:F))</f>
        <v>1290</v>
      </c>
      <c r="P166" s="160"/>
      <c r="Q166" s="162">
        <f t="shared" ca="1" si="13"/>
        <v>1</v>
      </c>
      <c r="R166" s="162" t="str">
        <f>VLOOKUP(VLOOKUP(A166,DB_Locations!A:C,3,FALSE),DB_Appareils!A:F,6,FALSE)</f>
        <v>En location</v>
      </c>
      <c r="S166" s="162" t="str">
        <f>VLOOKUP(A166,DB_Locations!A:I,9,FALSE)</f>
        <v>ACTIF</v>
      </c>
      <c r="T166" s="162"/>
      <c r="U166" s="162"/>
      <c r="V166" s="164" t="str">
        <f t="shared" ca="1" si="11"/>
        <v/>
      </c>
      <c r="W166" s="164"/>
    </row>
    <row r="167" spans="1:23" x14ac:dyDescent="0.25">
      <c r="A167" s="162" t="s">
        <v>2226</v>
      </c>
      <c r="B167" s="162" t="str">
        <f>VLOOKUP(VLOOKUP(A167,DB_Locations!A:B,2,FALSE),DB_Patients!A:B,2,FALSE)</f>
        <v>JOUINI HOUCINE</v>
      </c>
      <c r="C167" s="162" t="str">
        <f>VLOOKUP(VLOOKUP(A167,DB_Locations!A:B,2,FALSE),DB_Patients!A:H,8,FALSE)&amp;IF(VLOOKUP(VLOOKUP(A167,DB_Locations!A:B,2,FALSE),DB_Patients!A:I,9,FALSE)&lt;&gt;""," ("&amp;VLOOKUP(VLOOKUP(A167,DB_Locations!A:B,2,FALSE),DB_Patients!A:I,9,FALSE)&amp;")","")</f>
        <v>29966703 (SA FILLE)</v>
      </c>
      <c r="D167" s="162" t="str">
        <f>VLOOKUP(VLOOKUP(A167,DB_Locations!A:B,2,FALSE),DB_Patients!A:J,10,FALSE)&amp;" ("&amp;VLOOKUP(VLOOKUP(A167,DB_Locations!A:B,2,FALSE),DB_Patients!A:K,11,FALSE)&amp;")"</f>
        <v xml:space="preserve"> ()</v>
      </c>
      <c r="E167" s="162" t="str">
        <f>VLOOKUP(VLOOKUP(A167,DB_Locations!A:B,2,FALSE),DB_Patients!A:F,6,FALSE)</f>
        <v>MANZEL BOURGUIBA</v>
      </c>
      <c r="F167" s="162" t="str">
        <f>VLOOKUP(VLOOKUP(A167,DB_Locations!A:B,2,FALSE),DB_Patients!A:M,13,FALSE)</f>
        <v>CNAM</v>
      </c>
      <c r="G167" s="162" t="str">
        <f>VLOOKUP(VLOOKUP(A167,DB_Locations!A:B,2,FALSE),DB_Patients!A:L,12,FALSE)</f>
        <v>OTHMEN NAFFETY</v>
      </c>
      <c r="H167" s="162" t="str">
        <f>VLOOKUP(A167,DB_Locations!A:F,6,FALSE)</f>
        <v>SOUHAIEB BEN SAHRA</v>
      </c>
      <c r="I167" s="162">
        <f>VLOOKUP(A167,DB_Locations!A:G,7,FALSE)</f>
        <v>0</v>
      </c>
      <c r="J167" s="162" t="str">
        <f>VLOOKUP(VLOOKUP(A167,DB_Locations!A:C,3,FALSE),DB_Appareils!A:B,2,FALSE)</f>
        <v>CONCENTRATEUR O2</v>
      </c>
      <c r="K167" s="161">
        <f>VLOOKUP(A167,DB_Locations!A:D,4,FALSE)</f>
        <v>45817</v>
      </c>
      <c r="L167" s="161" cm="1">
        <f t="array" ref="L167">IF(COUNTIF(DB_Paiements!B:B,A167)=0,"",LOOKUP(2,1/(DB_Paiements!B:B=A167),DB_Paiements!D:D))</f>
        <v>45817</v>
      </c>
      <c r="M167" s="161" cm="1">
        <f t="array" ref="M167">IF(COUNTIF(DB_Paiements!B:B,A167)=0,"",LOOKUP(2,1/(DB_Paiements!B:B=A167),DB_Paiements!E:E))</f>
        <v>45908</v>
      </c>
      <c r="N167" s="162" t="str" cm="1">
        <f t="array" ref="N167">IF(COUNTIF(DB_Paiements!B:B,A167)=0,"",LOOKUP(2,1/(DB_Paiements!B:B=A167),DB_Paiements!G:G))</f>
        <v>CNAM</v>
      </c>
      <c r="O167" s="162" cm="1">
        <f t="array" ref="O167">IF(COUNTIF(DB_Paiements!B:B,A167)=0,"",LOOKUP(2,1/(DB_Paiements!B:B=A167),DB_Paiements!F:F))</f>
        <v>570</v>
      </c>
      <c r="P167" s="160"/>
      <c r="Q167" s="162">
        <f t="shared" ca="1" si="13"/>
        <v>-13</v>
      </c>
      <c r="R167" s="162" t="str">
        <f>VLOOKUP(VLOOKUP(A167,DB_Locations!A:C,3,FALSE),DB_Appareils!A:F,6,FALSE)</f>
        <v>En location</v>
      </c>
      <c r="S167" s="162" t="str">
        <f>VLOOKUP(A167,DB_Locations!A:I,9,FALSE)</f>
        <v>Actif</v>
      </c>
      <c r="T167" s="162"/>
      <c r="U167" s="162"/>
      <c r="V167" s="162"/>
      <c r="W167" s="164"/>
    </row>
    <row r="168" spans="1:23" x14ac:dyDescent="0.25">
      <c r="A168" s="162" t="s">
        <v>2227</v>
      </c>
      <c r="B168" s="162" t="str">
        <f>VLOOKUP(VLOOKUP(A168,DB_Locations!A:B,2,FALSE),DB_Patients!A:B,2,FALSE)</f>
        <v>BOUBAKER ABDELKADER</v>
      </c>
      <c r="C168" s="162" t="str">
        <f>VLOOKUP(VLOOKUP(A168,DB_Locations!A:B,2,FALSE),DB_Patients!A:H,8,FALSE)&amp;IF(VLOOKUP(VLOOKUP(A168,DB_Locations!A:B,2,FALSE),DB_Patients!A:I,9,FALSE)&lt;&gt;""," ("&amp;VLOOKUP(VLOOKUP(A168,DB_Locations!A:B,2,FALSE),DB_Patients!A:I,9,FALSE)&amp;")","")</f>
        <v>22707984 (PERSONNEL)</v>
      </c>
      <c r="D168" s="162" t="str">
        <f>VLOOKUP(VLOOKUP(A168,DB_Locations!A:B,2,FALSE),DB_Patients!A:J,10,FALSE)&amp;" ("&amp;VLOOKUP(VLOOKUP(A168,DB_Locations!A:B,2,FALSE),DB_Patients!A:K,11,FALSE)&amp;")"</f>
        <v>24207495 (SA FEMME)</v>
      </c>
      <c r="E168" s="162" t="str">
        <f>VLOOKUP(VLOOKUP(A168,DB_Locations!A:B,2,FALSE),DB_Patients!A:F,6,FALSE)</f>
        <v>LAAZIB</v>
      </c>
      <c r="F168" s="162" t="str">
        <f>VLOOKUP(VLOOKUP(A168,DB_Locations!A:B,2,FALSE),DB_Patients!A:M,13,FALSE)</f>
        <v>CNAM</v>
      </c>
      <c r="G168" s="162" t="str">
        <f>VLOOKUP(VLOOKUP(A168,DB_Locations!A:B,2,FALSE),DB_Patients!A:L,12,FALSE)</f>
        <v>OTHMEN NAFFETY</v>
      </c>
      <c r="H168" s="162" t="str">
        <f>VLOOKUP(A168,DB_Locations!A:F,6,FALSE)</f>
        <v>SOUHAIEB BEN SAHRA</v>
      </c>
      <c r="I168" s="162">
        <f>VLOOKUP(A168,DB_Locations!A:G,7,FALSE)</f>
        <v>0</v>
      </c>
      <c r="J168" s="162" t="str">
        <f>VLOOKUP(VLOOKUP(A168,DB_Locations!A:C,3,FALSE),DB_Appareils!A:B,2,FALSE)</f>
        <v>CONCENTRATEUR O2</v>
      </c>
      <c r="K168" s="161">
        <f>VLOOKUP(A168,DB_Locations!A:D,4,FALSE)</f>
        <v>45798</v>
      </c>
      <c r="L168" s="161" cm="1">
        <f t="array" ref="L168">IF(COUNTIF(DB_Paiements!B:B,A168)=0,"",LOOKUP(2,1/(DB_Paiements!B:B=A168),DB_Paiements!D:D))</f>
        <v>45798</v>
      </c>
      <c r="M168" s="161" cm="1">
        <f t="array" aca="1" ref="M168" ca="1">IF(COUNTIF(DB_Paiements!B:B,A168)=0,"",LOOKUP(2,1/(DB_Paiements!B:B=A168),DB_Paiements!E:E))</f>
        <v>45895</v>
      </c>
      <c r="N168" s="162" t="str" cm="1">
        <f t="array" ref="N168">IF(COUNTIF(DB_Paiements!B:B,A168)=0,"",LOOKUP(2,1/(DB_Paiements!B:B=A168),DB_Paiements!G:G))</f>
        <v>CNAM</v>
      </c>
      <c r="O168" s="162" cm="1">
        <f t="array" aca="1" ref="O168" ca="1">IF(COUNTIF(DB_Paiements!B:B,A168)=0,"",LOOKUP(2,1/(DB_Paiements!B:B=A168),DB_Paiements!F:F))</f>
        <v>570</v>
      </c>
      <c r="P168" s="160"/>
      <c r="Q168" s="162">
        <f t="shared" ca="1" si="13"/>
        <v>0</v>
      </c>
      <c r="R168" s="162" t="str">
        <f>VLOOKUP(VLOOKUP(A168,DB_Locations!A:C,3,FALSE),DB_Appareils!A:F,6,FALSE)</f>
        <v>En location</v>
      </c>
      <c r="S168" s="162" t="str">
        <f>VLOOKUP(A168,DB_Locations!A:I,9,FALSE)</f>
        <v>ACTIF</v>
      </c>
      <c r="T168" s="162"/>
      <c r="U168" s="162"/>
      <c r="V168" s="164" t="str">
        <f ca="1">IF(U168&lt;&gt;"",TODAY()-U168,"")</f>
        <v/>
      </c>
      <c r="W168" s="164"/>
    </row>
    <row r="169" spans="1:23" hidden="1" x14ac:dyDescent="0.25">
      <c r="A169" s="162" t="s">
        <v>2228</v>
      </c>
      <c r="B169" s="162" t="str">
        <f>VLOOKUP(VLOOKUP(A169,DB_Locations!A:B,2,FALSE),DB_Patients!A:B,2,FALSE)</f>
        <v>BOUBAKER ABDELKADER</v>
      </c>
      <c r="C169" s="162" t="str">
        <f>VLOOKUP(VLOOKUP(A169,DB_Locations!A:B,2,FALSE),DB_Patients!A:H,8,FALSE)&amp;IF(VLOOKUP(VLOOKUP(A169,DB_Locations!A:B,2,FALSE),DB_Patients!A:I,9,FALSE)&lt;&gt;""," ("&amp;VLOOKUP(VLOOKUP(A169,DB_Locations!A:B,2,FALSE),DB_Patients!A:I,9,FALSE)&amp;")","")</f>
        <v>22707984 (PERSONNEL)</v>
      </c>
      <c r="D169" s="162" t="str">
        <f>VLOOKUP(VLOOKUP(A169,DB_Locations!A:B,2,FALSE),DB_Patients!A:J,10,FALSE)&amp;" ("&amp;VLOOKUP(VLOOKUP(A169,DB_Locations!A:B,2,FALSE),DB_Patients!A:K,11,FALSE)&amp;")"</f>
        <v>24207495 (SA FEMME)</v>
      </c>
      <c r="E169" s="162"/>
      <c r="F169" s="162" t="str">
        <f>VLOOKUP(VLOOKUP(A169,DB_Locations!A:B,2,FALSE),DB_Patients!A:M,13,FALSE)</f>
        <v>CNAM</v>
      </c>
      <c r="G169" s="162" t="str">
        <f>VLOOKUP(VLOOKUP(A169,DB_Locations!A:B,2,FALSE),DB_Patients!A:L,12,FALSE)</f>
        <v>OTHMEN NAFFETY</v>
      </c>
      <c r="H169" s="162" t="str">
        <f>VLOOKUP(A169,DB_Locations!A:F,6,FALSE)</f>
        <v>SOUHAIEB BEN SAHRA</v>
      </c>
      <c r="I169" s="162">
        <f>VLOOKUP(A169,DB_Locations!A:G,7,FALSE)</f>
        <v>0</v>
      </c>
      <c r="J169" s="162" t="str">
        <f>VLOOKUP(VLOOKUP(A169,DB_Locations!A:C,3,FALSE),DB_Appareils!A:B,2,FALSE)</f>
        <v>VNI</v>
      </c>
      <c r="K169" s="161">
        <f>VLOOKUP(A169,DB_Locations!A:D,4,FALSE)</f>
        <v>45798</v>
      </c>
      <c r="L169" s="161" cm="1">
        <f t="array" ref="L169">IF(COUNTIF(DB_Paiements!B:B,A169)=0,"",LOOKUP(2,1/(DB_Paiements!B:B=A169),DB_Paiements!D:D))</f>
        <v>45798</v>
      </c>
      <c r="M169" s="161" cm="1">
        <f t="array" aca="1" ref="M169" ca="1">IF(COUNTIF(DB_Paiements!B:B,A169)=0,"",LOOKUP(2,1/(DB_Paiements!B:B=A169),DB_Paiements!E:E))</f>
        <v>45895</v>
      </c>
      <c r="N169" s="162" t="str" cm="1">
        <f t="array" ref="N169">IF(COUNTIF(DB_Paiements!B:B,A169)=0,"",LOOKUP(2,1/(DB_Paiements!B:B=A169),DB_Paiements!G:G))</f>
        <v>CNAM</v>
      </c>
      <c r="O169" s="162" cm="1">
        <f t="array" aca="1" ref="O169" ca="1">IF(COUNTIF(DB_Paiements!B:B,A169)=0,"",LOOKUP(2,1/(DB_Paiements!B:B=A169),DB_Paiements!F:F))</f>
        <v>1290</v>
      </c>
      <c r="P169" s="161"/>
      <c r="Q169" s="162">
        <f t="shared" ref="Q169:Q170" ca="1" si="14">IF(M169&lt;&gt;"",TODAY()-M169,"")</f>
        <v>0</v>
      </c>
      <c r="R169" s="162" t="str">
        <f>VLOOKUP(VLOOKUP(A169,DB_Locations!A:C,3,FALSE),DB_Appareils!A:F,6,FALSE)</f>
        <v>SOUHAIB</v>
      </c>
      <c r="S169" s="162" t="str">
        <f>VLOOKUP(A169,DB_Locations!A:I,9,FALSE)</f>
        <v>RETOUR</v>
      </c>
      <c r="T169" s="162"/>
      <c r="U169" s="162"/>
      <c r="V169" s="162"/>
      <c r="W169" s="164" t="s">
        <v>2262</v>
      </c>
    </row>
    <row r="170" spans="1:23" x14ac:dyDescent="0.25">
      <c r="A170" s="162" t="s">
        <v>2229</v>
      </c>
      <c r="B170" s="162" t="str">
        <f>VLOOKUP(VLOOKUP(A170,DB_Locations!A:B,2,FALSE),DB_Patients!A:B,2,FALSE)</f>
        <v xml:space="preserve">SAKET MOSTARI </v>
      </c>
      <c r="C170" s="162" t="str">
        <f>VLOOKUP(VLOOKUP(A170,DB_Locations!A:B,2,FALSE),DB_Patients!A:H,8,FALSE)&amp;IF(VLOOKUP(VLOOKUP(A170,DB_Locations!A:B,2,FALSE),DB_Patients!A:I,9,FALSE)&lt;&gt;""," ("&amp;VLOOKUP(VLOOKUP(A170,DB_Locations!A:B,2,FALSE),DB_Patients!A:I,9,FALSE)&amp;")","")</f>
        <v>52926005 (SON FILS)</v>
      </c>
      <c r="D170" s="162" t="str">
        <f>VLOOKUP(VLOOKUP(A170,DB_Locations!A:B,2,FALSE),DB_Patients!A:J,10,FALSE)&amp;" ("&amp;VLOOKUP(VLOOKUP(A170,DB_Locations!A:B,2,FALSE),DB_Patients!A:K,11,FALSE)&amp;")"</f>
        <v xml:space="preserve"> ()</v>
      </c>
      <c r="E170" s="162" t="str">
        <f>VLOOKUP(VLOOKUP(A170,DB_Locations!A:B,2,FALSE),DB_Patients!A:F,6,FALSE)</f>
        <v>METLIN LGARYA</v>
      </c>
      <c r="F170" s="162" t="str">
        <f>VLOOKUP(VLOOKUP(A170,DB_Locations!A:B,2,FALSE),DB_Patients!A:M,13,FALSE)</f>
        <v>CNAM</v>
      </c>
      <c r="G170" s="162" t="str">
        <f>VLOOKUP(VLOOKUP(A170,DB_Locations!A:B,2,FALSE),DB_Patients!A:L,12,FALSE)</f>
        <v>OTHMEN NAFFETY</v>
      </c>
      <c r="H170" s="162" t="str">
        <f>VLOOKUP(A170,DB_Locations!A:F,6,FALSE)</f>
        <v>SOUHAIEB BEN SAHRA</v>
      </c>
      <c r="I170" s="162">
        <f>VLOOKUP(A170,DB_Locations!A:G,7,FALSE)</f>
        <v>0</v>
      </c>
      <c r="J170" s="162" t="str">
        <f>VLOOKUP(VLOOKUP(A170,DB_Locations!A:C,3,FALSE),DB_Appareils!A:B,2,FALSE)</f>
        <v>CONCENTRATEUR O2</v>
      </c>
      <c r="K170" s="161">
        <f>VLOOKUP(A170,DB_Locations!A:D,4,FALSE)</f>
        <v>45825</v>
      </c>
      <c r="L170" s="161" cm="1">
        <f t="array" ref="L170">IF(COUNTIF(DB_Paiements!B:B,A170)=0,"",LOOKUP(2,1/(DB_Paiements!B:B=A170),DB_Paiements!D:D))</f>
        <v>45825</v>
      </c>
      <c r="M170" s="161" cm="1">
        <f t="array" aca="1" ref="M170" ca="1">IF(COUNTIF(DB_Paiements!B:B,A170)=0,"",LOOKUP(2,1/(DB_Paiements!B:B=A170),DB_Paiements!E:E))</f>
        <v>45895</v>
      </c>
      <c r="N170" s="162" t="str" cm="1">
        <f t="array" ref="N170">IF(COUNTIF(DB_Paiements!B:B,A170)=0,"",LOOKUP(2,1/(DB_Paiements!B:B=A170),DB_Paiements!G:G))</f>
        <v>CNAM</v>
      </c>
      <c r="O170" s="162" cm="1">
        <f t="array" aca="1" ref="O170" ca="1">IF(COUNTIF(DB_Paiements!B:B,A170)=0,"",LOOKUP(2,1/(DB_Paiements!B:B=A170),DB_Paiements!F:F))</f>
        <v>380</v>
      </c>
      <c r="P170" s="160"/>
      <c r="Q170" s="162">
        <f t="shared" ca="1" si="14"/>
        <v>0</v>
      </c>
      <c r="R170" s="162" t="str">
        <f>VLOOKUP(VLOOKUP(A170,DB_Locations!A:C,3,FALSE),DB_Appareils!A:F,6,FALSE)</f>
        <v>En location</v>
      </c>
      <c r="S170" s="162" t="str">
        <f>VLOOKUP(A170,DB_Locations!A:I,9,FALSE)</f>
        <v>ACTIF</v>
      </c>
      <c r="T170" s="162"/>
      <c r="U170" s="162"/>
      <c r="V170" s="164" t="str">
        <f t="shared" ref="V170:V174" ca="1" si="15">IF(U170&lt;&gt;"",TODAY()-U170,"")</f>
        <v/>
      </c>
      <c r="W170" s="164" t="s">
        <v>2261</v>
      </c>
    </row>
    <row r="171" spans="1:23" x14ac:dyDescent="0.25">
      <c r="A171" s="162" t="s">
        <v>2230</v>
      </c>
      <c r="B171" s="162" t="str">
        <f>VLOOKUP(VLOOKUP(A171,DB_Locations!A:B,2,FALSE),DB_Patients!A:B,2,FALSE)</f>
        <v>HAJRIA MED ATEF</v>
      </c>
      <c r="C171" s="162" t="str">
        <f>VLOOKUP(VLOOKUP(A171,DB_Locations!A:B,2,FALSE),DB_Patients!A:H,8,FALSE)&amp;IF(VLOOKUP(VLOOKUP(A171,DB_Locations!A:B,2,FALSE),DB_Patients!A:I,9,FALSE)&lt;&gt;""," ("&amp;VLOOKUP(VLOOKUP(A171,DB_Locations!A:B,2,FALSE),DB_Patients!A:I,9,FALSE)&amp;")","")</f>
        <v>21660520 (PERSONNEL)</v>
      </c>
      <c r="D171" s="162" t="str">
        <f>VLOOKUP(VLOOKUP(A171,DB_Locations!A:B,2,FALSE),DB_Patients!A:J,10,FALSE)&amp;" ("&amp;VLOOKUP(VLOOKUP(A171,DB_Locations!A:B,2,FALSE),DB_Patients!A:K,11,FALSE)&amp;")"</f>
        <v xml:space="preserve"> ()</v>
      </c>
      <c r="E171" s="162" t="str">
        <f>VLOOKUP(VLOOKUP(A171,DB_Locations!A:B,2,FALSE),DB_Patients!A:F,6,FALSE)</f>
        <v>KSAR KHAROUF</v>
      </c>
      <c r="F171" s="162" t="str">
        <f>VLOOKUP(VLOOKUP(A171,DB_Locations!A:B,2,FALSE),DB_Patients!A:M,13,FALSE)</f>
        <v>CNAM</v>
      </c>
      <c r="G171" s="162" t="str">
        <f>VLOOKUP(VLOOKUP(A171,DB_Locations!A:B,2,FALSE),DB_Patients!A:L,12,FALSE)</f>
        <v>OTHMEN NAFFETY</v>
      </c>
      <c r="H171" s="162" t="str">
        <f>VLOOKUP(A171,DB_Locations!A:F,6,FALSE)</f>
        <v>SOUHAIEB BEN SAHRA</v>
      </c>
      <c r="I171" s="162">
        <f>VLOOKUP(A171,DB_Locations!A:G,7,FALSE)</f>
        <v>0</v>
      </c>
      <c r="J171" s="162" t="str">
        <f>VLOOKUP(VLOOKUP(A171,DB_Locations!A:C,3,FALSE),DB_Appareils!A:B,2,FALSE)</f>
        <v>CONCENTRATEUR O2</v>
      </c>
      <c r="K171" s="161">
        <f>VLOOKUP(A171,DB_Locations!A:D,4,FALSE)</f>
        <v>45821</v>
      </c>
      <c r="L171" s="161" cm="1">
        <f t="array" ref="L171">IF(COUNTIF(DB_Paiements!B:B,A171)=0,"",LOOKUP(2,1/(DB_Paiements!B:B=A171),DB_Paiements!D:D))</f>
        <v>45821</v>
      </c>
      <c r="M171" s="161" cm="1">
        <f t="array" aca="1" ref="M171" ca="1">IF(COUNTIF(DB_Paiements!B:B,A171)=0,"",LOOKUP(2,1/(DB_Paiements!B:B=A171),DB_Paiements!E:E))</f>
        <v>45895</v>
      </c>
      <c r="N171" s="162" t="str" cm="1">
        <f t="array" ref="N171">IF(COUNTIF(DB_Paiements!B:B,A171)=0,"",LOOKUP(2,1/(DB_Paiements!B:B=A171),DB_Paiements!G:G))</f>
        <v>CNAM</v>
      </c>
      <c r="O171" s="162" cm="1">
        <f t="array" aca="1" ref="O171" ca="1">IF(COUNTIF(DB_Paiements!B:B,A171)=0,"",LOOKUP(2,1/(DB_Paiements!B:B=A171),DB_Paiements!F:F))</f>
        <v>570</v>
      </c>
      <c r="P171" s="160"/>
      <c r="Q171" s="162">
        <f t="shared" ref="Q171:Q173" ca="1" si="16">IF(M171&lt;&gt;"",TODAY()-M171,"")</f>
        <v>0</v>
      </c>
      <c r="R171" s="162" t="str">
        <f>VLOOKUP(VLOOKUP(A171,DB_Locations!A:C,3,FALSE),DB_Appareils!A:F,6,FALSE)</f>
        <v>En location</v>
      </c>
      <c r="S171" s="162" t="str">
        <f>VLOOKUP(A171,DB_Locations!A:I,9,FALSE)</f>
        <v>ACTIF</v>
      </c>
      <c r="T171" s="162"/>
      <c r="U171" s="162"/>
      <c r="V171" s="164" t="str">
        <f t="shared" ca="1" si="15"/>
        <v/>
      </c>
      <c r="W171" s="164" t="s">
        <v>2261</v>
      </c>
    </row>
    <row r="172" spans="1:23" x14ac:dyDescent="0.25">
      <c r="A172" s="162" t="s">
        <v>2231</v>
      </c>
      <c r="B172" s="162" t="str">
        <f>VLOOKUP(VLOOKUP(A172,DB_Locations!A:B,2,FALSE),DB_Patients!A:B,2,FALSE)</f>
        <v>AZZOUZI MOHAMED</v>
      </c>
      <c r="C172" s="162" t="str">
        <f>VLOOKUP(VLOOKUP(A172,DB_Locations!A:B,2,FALSE),DB_Patients!A:H,8,FALSE)&amp;IF(VLOOKUP(VLOOKUP(A172,DB_Locations!A:B,2,FALSE),DB_Patients!A:I,9,FALSE)&lt;&gt;""," ("&amp;VLOOKUP(VLOOKUP(A172,DB_Locations!A:B,2,FALSE),DB_Patients!A:I,9,FALSE)&amp;")","")</f>
        <v>56318415 (SA FILLE)</v>
      </c>
      <c r="D172" s="162" t="str">
        <f>VLOOKUP(VLOOKUP(A172,DB_Locations!A:B,2,FALSE),DB_Patients!A:J,10,FALSE)&amp;" ("&amp;VLOOKUP(VLOOKUP(A172,DB_Locations!A:B,2,FALSE),DB_Patients!A:K,11,FALSE)&amp;")"</f>
        <v xml:space="preserve"> ()</v>
      </c>
      <c r="E172" s="162" t="str">
        <f>VLOOKUP(VLOOKUP(A172,DB_Locations!A:B,2,FALSE),DB_Patients!A:F,6,FALSE)</f>
        <v>MANZEL BOURGUIBA</v>
      </c>
      <c r="F172" s="162" t="str">
        <f>VLOOKUP(VLOOKUP(A172,DB_Locations!A:B,2,FALSE),DB_Patients!A:M,13,FALSE)</f>
        <v xml:space="preserve">CNAM </v>
      </c>
      <c r="G172" s="162" t="str">
        <f>VLOOKUP(VLOOKUP(A172,DB_Locations!A:B,2,FALSE),DB_Patients!A:L,12,FALSE)</f>
        <v>OTHMEN NAFFETY</v>
      </c>
      <c r="H172" s="162" t="str">
        <f>VLOOKUP(A172,DB_Locations!A:F,6,FALSE)</f>
        <v>SOUHAIEB BEN SAHRA</v>
      </c>
      <c r="I172" s="162">
        <f>VLOOKUP(A172,DB_Locations!A:G,7,FALSE)</f>
        <v>0</v>
      </c>
      <c r="J172" s="162" t="str">
        <f>VLOOKUP(VLOOKUP(A172,DB_Locations!A:C,3,FALSE),DB_Appareils!A:B,2,FALSE)</f>
        <v>CONCENTRATEUR O2</v>
      </c>
      <c r="K172" s="161">
        <f>VLOOKUP(A172,DB_Locations!A:D,4,FALSE)</f>
        <v>45841</v>
      </c>
      <c r="L172" s="161" cm="1">
        <f t="array" ref="L172">IF(COUNTIF(DB_Paiements!B:B,A172)=0,"",LOOKUP(2,1/(DB_Paiements!B:B=A172),DB_Paiements!D:D))</f>
        <v>45841</v>
      </c>
      <c r="M172" s="161" cm="1">
        <f t="array" aca="1" ref="M172" ca="1">IF(COUNTIF(DB_Paiements!B:B,A172)=0,"",LOOKUP(2,1/(DB_Paiements!B:B=A172),DB_Paiements!E:E))</f>
        <v>45895</v>
      </c>
      <c r="N172" s="162" t="str" cm="1">
        <f t="array" ref="N172">IF(COUNTIF(DB_Paiements!B:B,A172)=0,"",LOOKUP(2,1/(DB_Paiements!B:B=A172),DB_Paiements!G:G))</f>
        <v>CNAM</v>
      </c>
      <c r="O172" s="162" cm="1">
        <f t="array" aca="1" ref="O172" ca="1">IF(COUNTIF(DB_Paiements!B:B,A172)=0,"",LOOKUP(2,1/(DB_Paiements!B:B=A172),DB_Paiements!F:F))</f>
        <v>380</v>
      </c>
      <c r="P172" s="160"/>
      <c r="Q172" s="162">
        <f t="shared" ca="1" si="16"/>
        <v>0</v>
      </c>
      <c r="R172" s="162" t="str">
        <f>VLOOKUP(VLOOKUP(A172,DB_Locations!A:C,3,FALSE),DB_Appareils!A:F,6,FALSE)</f>
        <v>En location</v>
      </c>
      <c r="S172" s="162" t="str">
        <f>VLOOKUP(A172,DB_Locations!A:I,9,FALSE)</f>
        <v>ACTIF</v>
      </c>
      <c r="T172" s="162"/>
      <c r="U172" s="162"/>
      <c r="V172" s="164" t="str">
        <f t="shared" ca="1" si="15"/>
        <v/>
      </c>
      <c r="W172" s="164" t="s">
        <v>2261</v>
      </c>
    </row>
    <row r="173" spans="1:23" x14ac:dyDescent="0.25">
      <c r="A173" s="162" t="s">
        <v>2232</v>
      </c>
      <c r="B173" s="162" t="str">
        <f>VLOOKUP(VLOOKUP(A173,DB_Locations!A:B,2,FALSE),DB_Patients!A:B,2,FALSE)</f>
        <v xml:space="preserve">MAHOUECHI FARHAT </v>
      </c>
      <c r="C173" s="162" t="str">
        <f>VLOOKUP(VLOOKUP(A173,DB_Locations!A:B,2,FALSE),DB_Patients!A:H,8,FALSE)&amp;IF(VLOOKUP(VLOOKUP(A173,DB_Locations!A:B,2,FALSE),DB_Patients!A:I,9,FALSE)&lt;&gt;""," ("&amp;VLOOKUP(VLOOKUP(A173,DB_Locations!A:B,2,FALSE),DB_Patients!A:I,9,FALSE)&amp;")","")</f>
        <v>26065887 (SON FILS)</v>
      </c>
      <c r="D173" s="162" t="str">
        <f>VLOOKUP(VLOOKUP(A173,DB_Locations!A:B,2,FALSE),DB_Patients!A:J,10,FALSE)&amp;" ("&amp;VLOOKUP(VLOOKUP(A173,DB_Locations!A:B,2,FALSE),DB_Patients!A:K,11,FALSE)&amp;")"</f>
        <v>93470714 (SON FILS)</v>
      </c>
      <c r="E173" s="162" t="str">
        <f>VLOOKUP(VLOOKUP(A173,DB_Locations!A:B,2,FALSE),DB_Patients!A:F,6,FALSE)</f>
        <v>MANZEL BOURGUIBA</v>
      </c>
      <c r="F173" s="162" t="str">
        <f>VLOOKUP(VLOOKUP(A173,DB_Locations!A:B,2,FALSE),DB_Patients!A:M,13,FALSE)</f>
        <v>CNAM</v>
      </c>
      <c r="G173" s="162" t="str">
        <f>VLOOKUP(VLOOKUP(A173,DB_Locations!A:B,2,FALSE),DB_Patients!A:L,12,FALSE)</f>
        <v>OTHMEN NAFFETY</v>
      </c>
      <c r="H173" s="162" t="str">
        <f>VLOOKUP(A173,DB_Locations!A:F,6,FALSE)</f>
        <v>SOUHAIEB BEN SAHRA</v>
      </c>
      <c r="I173" s="162">
        <f>VLOOKUP(A173,DB_Locations!A:G,7,FALSE)</f>
        <v>0</v>
      </c>
      <c r="J173" s="162" t="str">
        <f>VLOOKUP(VLOOKUP(A173,DB_Locations!A:C,3,FALSE),DB_Appareils!A:B,2,FALSE)</f>
        <v>CONCENTRATEUR O2</v>
      </c>
      <c r="K173" s="161">
        <f>VLOOKUP(A173,DB_Locations!A:D,4,FALSE)</f>
        <v>45871</v>
      </c>
      <c r="L173" s="161" cm="1">
        <f t="array" aca="1" ref="L173" ca="1">IF(COUNTIF(DB_Paiements!B:B,A173)=0,"",LOOKUP(2,1/(DB_Paiements!B:B=A173),DB_Paiements!D:D))</f>
        <v>45895</v>
      </c>
      <c r="M173" s="161" cm="1">
        <f t="array" ref="M173">IF(COUNTIF(DB_Paiements!B:B,A173)=0,"",LOOKUP(2,1/(DB_Paiements!B:B=A173),DB_Paiements!E:E))</f>
        <v>45871</v>
      </c>
      <c r="N173" s="162" t="str" cm="1">
        <f t="array" ref="N173">IF(COUNTIF(DB_Paiements!B:B,A173)=0,"",LOOKUP(2,1/(DB_Paiements!B:B=A173),DB_Paiements!G:G))</f>
        <v>CNAM</v>
      </c>
      <c r="O173" s="162" cm="1">
        <f t="array" aca="1" ref="O173" ca="1">IF(COUNTIF(DB_Paiements!B:B,A173)=0,"",LOOKUP(2,1/(DB_Paiements!B:B=A173),DB_Paiements!F:F))</f>
        <v>-190</v>
      </c>
      <c r="P173" s="160"/>
      <c r="Q173" s="162">
        <f t="shared" ca="1" si="16"/>
        <v>24</v>
      </c>
      <c r="R173" s="162" t="str">
        <f>VLOOKUP(VLOOKUP(A173,DB_Locations!A:C,3,FALSE),DB_Appareils!A:F,6,FALSE)</f>
        <v>En location</v>
      </c>
      <c r="S173" s="162" t="str">
        <f>VLOOKUP(A173,DB_Locations!A:I,9,FALSE)</f>
        <v>ACTIF</v>
      </c>
      <c r="T173" s="162"/>
      <c r="U173" s="162"/>
      <c r="V173" s="164" t="str">
        <f t="shared" ca="1" si="15"/>
        <v/>
      </c>
      <c r="W173" s="164" t="s">
        <v>2276</v>
      </c>
    </row>
    <row r="174" spans="1:23" x14ac:dyDescent="0.25">
      <c r="A174" s="162" t="s">
        <v>2273</v>
      </c>
      <c r="B174" s="162" t="str">
        <f>VLOOKUP(VLOOKUP(A174,DB_Locations!A:B,2,FALSE),DB_Patients!A:B,2,FALSE)</f>
        <v xml:space="preserve">MAHOUECHI FARHAT </v>
      </c>
      <c r="C174" s="162" t="str">
        <f>VLOOKUP(VLOOKUP(A174,DB_Locations!A:B,2,FALSE),DB_Patients!A:H,8,FALSE)&amp;IF(VLOOKUP(VLOOKUP(A174,DB_Locations!A:B,2,FALSE),DB_Patients!A:I,9,FALSE)&lt;&gt;""," ("&amp;VLOOKUP(VLOOKUP(A174,DB_Locations!A:B,2,FALSE),DB_Patients!A:I,9,FALSE)&amp;")","")</f>
        <v>26065887 (SON FILS)</v>
      </c>
      <c r="D174" s="162" t="str">
        <f>VLOOKUP(VLOOKUP(A174,DB_Locations!A:B,2,FALSE),DB_Patients!A:J,10,FALSE)&amp;" ("&amp;VLOOKUP(VLOOKUP(A174,DB_Locations!A:B,2,FALSE),DB_Patients!A:K,11,FALSE)&amp;")"</f>
        <v>93470714 (SON FILS)</v>
      </c>
      <c r="E174" s="162" t="str">
        <f>VLOOKUP(VLOOKUP(A174,DB_Locations!A:B,2,FALSE),DB_Patients!A:F,6,FALSE)</f>
        <v>MANZEL BOURGUIBA</v>
      </c>
      <c r="F174" s="162" t="str">
        <f>VLOOKUP(VLOOKUP(A174,DB_Locations!A:B,2,FALSE),DB_Patients!A:M,13,FALSE)</f>
        <v>CNAM</v>
      </c>
      <c r="G174" s="162" t="str">
        <f>VLOOKUP(VLOOKUP(A174,DB_Locations!A:B,2,FALSE),DB_Patients!A:L,12,FALSE)</f>
        <v>OTHMEN NAFFETY</v>
      </c>
      <c r="H174" s="162" t="str">
        <f>VLOOKUP(A174,DB_Locations!A:F,6,FALSE)</f>
        <v>SOUHAIEB BEN SAHRA</v>
      </c>
      <c r="I174" s="162">
        <f>VLOOKUP(A174,DB_Locations!A:G,7,FALSE)</f>
        <v>0</v>
      </c>
      <c r="J174" s="162" t="str">
        <f>VLOOKUP(VLOOKUP(A174,DB_Locations!A:C,3,FALSE),DB_Appareils!A:B,2,FALSE)</f>
        <v>VNI</v>
      </c>
      <c r="K174" s="161">
        <f>VLOOKUP(A174,DB_Locations!A:D,4,FALSE)</f>
        <v>45871</v>
      </c>
      <c r="L174" s="161" cm="1">
        <f t="array" aca="1" ref="L174" ca="1">IF(COUNTIF(DB_Paiements!B:B,A174)=0,"",LOOKUP(2,1/(DB_Paiements!B:B=A174),DB_Paiements!D:D))</f>
        <v>45895</v>
      </c>
      <c r="M174" s="161" cm="1">
        <f t="array" ref="M174">IF(COUNTIF(DB_Paiements!B:B,A174)=0,"",LOOKUP(2,1/(DB_Paiements!B:B=A174),DB_Paiements!E:E))</f>
        <v>45871</v>
      </c>
      <c r="N174" s="162" t="str" cm="1">
        <f t="array" ref="N174">IF(COUNTIF(DB_Paiements!B:B,A174)=0,"",LOOKUP(2,1/(DB_Paiements!B:B=A174),DB_Paiements!G:G))</f>
        <v>CNAM</v>
      </c>
      <c r="O174" s="162" cm="1">
        <f t="array" aca="1" ref="O174" ca="1">IF(COUNTIF(DB_Paiements!B:B,A174)=0,"",LOOKUP(2,1/(DB_Paiements!B:B=A174),DB_Paiements!F:F))</f>
        <v>-430</v>
      </c>
      <c r="P174" s="160"/>
      <c r="Q174" s="162">
        <f t="shared" ref="Q174" ca="1" si="17">IF(M174&lt;&gt;"",TODAY()-M174,"")</f>
        <v>24</v>
      </c>
      <c r="R174" s="162" t="str">
        <f>VLOOKUP(VLOOKUP(A174,DB_Locations!A:C,3,FALSE),DB_Appareils!A:F,6,FALSE)</f>
        <v>En location</v>
      </c>
      <c r="S174" s="162" t="str">
        <f>VLOOKUP(A174,DB_Locations!A:I,9,FALSE)</f>
        <v>ACTIF</v>
      </c>
      <c r="T174" s="162"/>
      <c r="U174" s="162"/>
      <c r="V174" s="164" t="str">
        <f t="shared" ca="1" si="15"/>
        <v/>
      </c>
      <c r="W174" s="164" t="s">
        <v>2276</v>
      </c>
    </row>
    <row r="175" spans="1:23" x14ac:dyDescent="0.25">
      <c r="A175" s="162" t="s">
        <v>2280</v>
      </c>
      <c r="B175" s="162" t="str">
        <f>VLOOKUP(VLOOKUP(A175,DB_Locations!A:B,2,FALSE),DB_Patients!A:B,2,FALSE)</f>
        <v>MEMI JAMEL</v>
      </c>
      <c r="C175" s="162" t="str">
        <f>VLOOKUP(VLOOKUP(A175,DB_Locations!A:B,2,FALSE),DB_Patients!A:H,8,FALSE)&amp;IF(VLOOKUP(VLOOKUP(A175,DB_Locations!A:B,2,FALSE),DB_Patients!A:I,9,FALSE)&lt;&gt;""," ("&amp;VLOOKUP(VLOOKUP(A175,DB_Locations!A:B,2,FALSE),DB_Patients!A:I,9,FALSE)&amp;")","")</f>
        <v>27791961 (SON FILS)</v>
      </c>
      <c r="D175" s="162" t="str">
        <f>VLOOKUP(VLOOKUP(A175,DB_Locations!A:B,2,FALSE),DB_Patients!A:J,10,FALSE)&amp;" ("&amp;VLOOKUP(VLOOKUP(A175,DB_Locations!A:B,2,FALSE),DB_Patients!A:K,11,FALSE)&amp;")"</f>
        <v>29084435 (PERSONNEL)</v>
      </c>
      <c r="E175" s="162" t="str">
        <f>VLOOKUP(VLOOKUP(A175,DB_Locations!A:B,2,FALSE),DB_Patients!A:F,6,FALSE)</f>
        <v>MANZEL BOURGUIBA</v>
      </c>
      <c r="F175" s="162" t="str">
        <f>VLOOKUP(VLOOKUP(A175,DB_Locations!A:B,2,FALSE),DB_Patients!A:M,13,FALSE)</f>
        <v>CNAM</v>
      </c>
      <c r="G175" s="162" t="str">
        <f>VLOOKUP(VLOOKUP(A175,DB_Locations!A:B,2,FALSE),DB_Patients!A:L,12,FALSE)</f>
        <v>MANEL MEDI</v>
      </c>
      <c r="H175" s="162" t="str">
        <f>VLOOKUP(A175,DB_Locations!A:F,6,FALSE)</f>
        <v>SOUHAIEB BEN SAHRA</v>
      </c>
      <c r="I175" s="162">
        <f>VLOOKUP(A175,DB_Locations!A:G,7,FALSE)</f>
        <v>0</v>
      </c>
      <c r="J175" s="162" t="str">
        <f>VLOOKUP(VLOOKUP(A175,DB_Locations!A:C,3,FALSE),DB_Appareils!A:B,2,FALSE)</f>
        <v>CONCENTRATEUR O2</v>
      </c>
      <c r="K175" s="161">
        <f>VLOOKUP(A175,DB_Locations!A:D,4,FALSE)</f>
        <v>45874</v>
      </c>
      <c r="L175" s="161" cm="1">
        <f t="array" ref="L175">IF(COUNTIF(DB_Paiements!B:B,A175)=0,"",LOOKUP(2,1/(DB_Paiements!B:B=A175),DB_Paiements!D:D))</f>
        <v>45873</v>
      </c>
      <c r="M175" s="161" cm="1">
        <f t="array" ref="M175">IF(COUNTIF(DB_Paiements!B:B,A175)=0,"",LOOKUP(2,1/(DB_Paiements!B:B=A175),DB_Paiements!E:E))</f>
        <v>45903</v>
      </c>
      <c r="N175" s="162" t="str" cm="1">
        <f t="array" ref="N175">IF(COUNTIF(DB_Paiements!B:B,A175)=0,"",LOOKUP(2,1/(DB_Paiements!B:B=A175),DB_Paiements!G:G))</f>
        <v>CNAM</v>
      </c>
      <c r="O175" s="162" cm="1">
        <f t="array" ref="O175">IF(COUNTIF(DB_Paiements!B:B,A175)=0,"",LOOKUP(2,1/(DB_Paiements!B:B=A175),DB_Paiements!F:F))</f>
        <v>190</v>
      </c>
      <c r="P175" s="160"/>
      <c r="Q175" s="162">
        <f t="shared" ref="Q175" ca="1" si="18">IF(M175&lt;&gt;"",TODAY()-M175,"")</f>
        <v>-8</v>
      </c>
      <c r="R175" s="162" t="str">
        <f>VLOOKUP(VLOOKUP(A175,DB_Locations!A:C,3,FALSE),DB_Appareils!A:F,6,FALSE)</f>
        <v>En location</v>
      </c>
      <c r="S175" s="162" t="str">
        <f>VLOOKUP(A175,DB_Locations!A:I,9,FALSE)</f>
        <v>ACTIF</v>
      </c>
      <c r="T175" s="162"/>
      <c r="U175" s="162"/>
      <c r="V175" s="162"/>
      <c r="W175" s="164" t="s">
        <v>2282</v>
      </c>
    </row>
    <row r="176" spans="1:23" x14ac:dyDescent="0.25">
      <c r="A176" s="162" t="s">
        <v>2289</v>
      </c>
      <c r="B176" s="162" t="str">
        <f>VLOOKUP(VLOOKUP(A176,DB_Locations!A:B,2,FALSE),DB_Patients!A:B,2,FALSE)</f>
        <v xml:space="preserve">AHMED SHILI </v>
      </c>
      <c r="C176" s="162" t="str">
        <f>VLOOKUP(VLOOKUP(A176,DB_Locations!A:B,2,FALSE),DB_Patients!A:H,8,FALSE)&amp;IF(VLOOKUP(VLOOKUP(A176,DB_Locations!A:B,2,FALSE),DB_Patients!A:I,9,FALSE)&lt;&gt;""," ("&amp;VLOOKUP(VLOOKUP(A176,DB_Locations!A:B,2,FALSE),DB_Patients!A:I,9,FALSE)&amp;")","")</f>
        <v>90474505 (SON FILS)</v>
      </c>
      <c r="D176" s="162" t="str">
        <f>VLOOKUP(VLOOKUP(A176,DB_Locations!A:B,2,FALSE),DB_Patients!A:J,10,FALSE)&amp;" ("&amp;VLOOKUP(VLOOKUP(A176,DB_Locations!A:B,2,FALSE),DB_Patients!A:K,11,FALSE)&amp;")"</f>
        <v xml:space="preserve"> ()</v>
      </c>
      <c r="E176" s="162" t="str">
        <f>VLOOKUP(VLOOKUP(A176,DB_Locations!A:B,2,FALSE),DB_Patients!A:F,6,FALSE)</f>
        <v>ZARZOUNA</v>
      </c>
      <c r="F176" s="162" t="str">
        <f>VLOOKUP(VLOOKUP(A176,DB_Locations!A:B,2,FALSE),DB_Patients!A:M,13,FALSE)</f>
        <v>CNAM</v>
      </c>
      <c r="G176" s="162" t="str">
        <f>VLOOKUP(VLOOKUP(A176,DB_Locations!A:B,2,FALSE),DB_Patients!A:L,12,FALSE)</f>
        <v>OTHMEN NAFFETY</v>
      </c>
      <c r="H176" s="162" t="str">
        <f>VLOOKUP(A176,DB_Locations!A:F,6,FALSE)</f>
        <v>SOUHAIEB BEN SAHRA</v>
      </c>
      <c r="I176" s="162">
        <f>VLOOKUP(A176,DB_Locations!A:G,7,FALSE)</f>
        <v>0</v>
      </c>
      <c r="J176" s="162" t="str">
        <f>VLOOKUP(VLOOKUP(A176,DB_Locations!A:C,3,FALSE),DB_Appareils!A:B,2,FALSE)</f>
        <v>VNI</v>
      </c>
      <c r="K176" s="161">
        <f>VLOOKUP(A176,DB_Locations!A:D,4,FALSE)</f>
        <v>45807</v>
      </c>
      <c r="L176" s="161" cm="1">
        <f t="array" ref="L176">IF(COUNTIF(DB_Paiements!B:B,A176)=0,"",LOOKUP(2,1/(DB_Paiements!B:B=A176),DB_Paiements!D:D))</f>
        <v>45807</v>
      </c>
      <c r="M176" s="161" cm="1">
        <f t="array" aca="1" ref="M176" ca="1">IF(COUNTIF(DB_Paiements!B:B,A176)=0,"",LOOKUP(2,1/(DB_Paiements!B:B=A176),DB_Paiements!E:E))</f>
        <v>45895</v>
      </c>
      <c r="N176" s="162" t="str" cm="1">
        <f t="array" ref="N176">IF(COUNTIF(DB_Paiements!B:B,A176)=0,"",LOOKUP(2,1/(DB_Paiements!B:B=A176),DB_Paiements!G:G))</f>
        <v>CNAM</v>
      </c>
      <c r="O176" s="162" cm="1">
        <f t="array" aca="1" ref="O176" ca="1">IF(COUNTIF(DB_Paiements!B:B,A176)=0,"",LOOKUP(2,1/(DB_Paiements!B:B=A176),DB_Paiements!F:F))</f>
        <v>1290</v>
      </c>
      <c r="P176" s="160"/>
      <c r="Q176" s="162">
        <f t="shared" ref="Q176" ca="1" si="19">IF(M176&lt;&gt;"",TODAY()-M176,"")</f>
        <v>0</v>
      </c>
      <c r="R176" s="162" t="str">
        <f>VLOOKUP(VLOOKUP(A176,DB_Locations!A:C,3,FALSE),DB_Appareils!A:F,6,FALSE)</f>
        <v>En location</v>
      </c>
      <c r="S176" s="162" t="str">
        <f>VLOOKUP(A176,DB_Locations!A:I,9,FALSE)</f>
        <v>ACTIF</v>
      </c>
      <c r="T176" s="162"/>
      <c r="U176" s="162"/>
      <c r="V176" s="164" t="str">
        <f t="shared" ref="V176:V179" ca="1" si="20">IF(U176&lt;&gt;"",TODAY()-U176,"")</f>
        <v/>
      </c>
      <c r="W176" s="164" t="s">
        <v>2291</v>
      </c>
    </row>
    <row r="177" spans="1:23" x14ac:dyDescent="0.25">
      <c r="A177" s="162" t="s">
        <v>2296</v>
      </c>
      <c r="B177" s="162" t="str">
        <f>VLOOKUP(VLOOKUP(A177,DB_Locations!A:B,2,FALSE),DB_Patients!A:B,2,FALSE)</f>
        <v xml:space="preserve">HAMBLI SALOUA </v>
      </c>
      <c r="C177" s="162" t="str">
        <f>VLOOKUP(VLOOKUP(A177,DB_Locations!A:B,2,FALSE),DB_Patients!A:H,8,FALSE)&amp;IF(VLOOKUP(VLOOKUP(A177,DB_Locations!A:B,2,FALSE),DB_Patients!A:I,9,FALSE)&lt;&gt;""," ("&amp;VLOOKUP(VLOOKUP(A177,DB_Locations!A:B,2,FALSE),DB_Patients!A:I,9,FALSE)&amp;")","")</f>
        <v>93356080 (PERSONNEL)</v>
      </c>
      <c r="D177" s="162" t="str">
        <f>VLOOKUP(VLOOKUP(A177,DB_Locations!A:B,2,FALSE),DB_Patients!A:J,10,FALSE)&amp;" ("&amp;VLOOKUP(VLOOKUP(A177,DB_Locations!A:B,2,FALSE),DB_Patients!A:K,11,FALSE)&amp;")"</f>
        <v xml:space="preserve"> ()</v>
      </c>
      <c r="E177" s="162" t="str">
        <f>VLOOKUP(VLOOKUP(A177,DB_Locations!A:B,2,FALSE),DB_Patients!A:F,6,FALSE)</f>
        <v>JBAL JLOUD</v>
      </c>
      <c r="F177" s="162" t="str">
        <f>VLOOKUP(VLOOKUP(A177,DB_Locations!A:B,2,FALSE),DB_Patients!A:M,13,FALSE)</f>
        <v xml:space="preserve">CNAM </v>
      </c>
      <c r="G177" s="162" t="str">
        <f>VLOOKUP(VLOOKUP(A177,DB_Locations!A:B,2,FALSE),DB_Patients!A:L,12,FALSE)</f>
        <v xml:space="preserve">ABIR HEDHLI </v>
      </c>
      <c r="H177" s="162" t="str">
        <f>VLOOKUP(A177,DB_Locations!A:F,6,FALSE)</f>
        <v>SOUHAIEB BEN SAHRA</v>
      </c>
      <c r="I177" s="162">
        <f>VLOOKUP(A177,DB_Locations!A:G,7,FALSE)</f>
        <v>0</v>
      </c>
      <c r="J177" s="162" t="str">
        <f>VLOOKUP(VLOOKUP(A177,DB_Locations!A:C,3,FALSE),DB_Appareils!A:B,2,FALSE)</f>
        <v>VNI</v>
      </c>
      <c r="K177" s="161">
        <f>VLOOKUP(A177,DB_Locations!A:D,4,FALSE)</f>
        <v>45864</v>
      </c>
      <c r="L177" s="161" cm="1">
        <f t="array" ref="L177">IF(COUNTIF(DB_Paiements!B:B,A177)=0,"",LOOKUP(2,1/(DB_Paiements!B:B=A177),DB_Paiements!D:D))</f>
        <v>45864</v>
      </c>
      <c r="M177" s="161" cm="1">
        <f t="array" aca="1" ref="M177" ca="1">IF(COUNTIF(DB_Paiements!B:B,A177)=0,"",LOOKUP(2,1/(DB_Paiements!B:B=A177),DB_Paiements!E:E))</f>
        <v>45895</v>
      </c>
      <c r="N177" s="162" t="str" cm="1">
        <f t="array" ref="N177">IF(COUNTIF(DB_Paiements!B:B,A177)=0,"",LOOKUP(2,1/(DB_Paiements!B:B=A177),DB_Paiements!G:G))</f>
        <v>CNAM</v>
      </c>
      <c r="O177" s="162" cm="1">
        <f t="array" aca="1" ref="O177" ca="1">IF(COUNTIF(DB_Paiements!B:B,A177)=0,"",LOOKUP(2,1/(DB_Paiements!B:B=A177),DB_Paiements!F:F))</f>
        <v>430</v>
      </c>
      <c r="P177" s="160"/>
      <c r="Q177" s="162">
        <f t="shared" ref="Q177" ca="1" si="21">IF(M177&lt;&gt;"",TODAY()-M177,"")</f>
        <v>0</v>
      </c>
      <c r="R177" s="162" t="str">
        <f>VLOOKUP(VLOOKUP(A177,DB_Locations!A:C,3,FALSE),DB_Appareils!A:F,6,FALSE)</f>
        <v>En location</v>
      </c>
      <c r="S177" s="162" t="str">
        <f>VLOOKUP(A177,DB_Locations!A:I,9,FALSE)</f>
        <v>ACTIF</v>
      </c>
      <c r="T177" s="162"/>
      <c r="U177" s="162"/>
      <c r="V177" s="164" t="str">
        <f t="shared" ca="1" si="20"/>
        <v/>
      </c>
      <c r="W177" s="164"/>
    </row>
    <row r="178" spans="1:23" x14ac:dyDescent="0.25">
      <c r="A178" s="162" t="s">
        <v>2301</v>
      </c>
      <c r="B178" s="162" t="str">
        <f>VLOOKUP(VLOOKUP(A178,DB_Locations!A:B,2,FALSE),DB_Patients!A:B,2,FALSE)</f>
        <v xml:space="preserve">AIDA GHORBEL </v>
      </c>
      <c r="C178" s="162" t="str">
        <f>VLOOKUP(VLOOKUP(A178,DB_Locations!A:B,2,FALSE),DB_Patients!A:H,8,FALSE)&amp;IF(VLOOKUP(VLOOKUP(A178,DB_Locations!A:B,2,FALSE),DB_Patients!A:I,9,FALSE)&lt;&gt;""," ("&amp;VLOOKUP(VLOOKUP(A178,DB_Locations!A:B,2,FALSE),DB_Patients!A:I,9,FALSE)&amp;")","")</f>
        <v>22126201 (SON MARI)</v>
      </c>
      <c r="D178" s="162" t="str">
        <f>VLOOKUP(VLOOKUP(A178,DB_Locations!A:B,2,FALSE),DB_Patients!A:J,10,FALSE)&amp;" ("&amp;VLOOKUP(VLOOKUP(A178,DB_Locations!A:B,2,FALSE),DB_Patients!A:K,11,FALSE)&amp;")"</f>
        <v>26644128 (SA SŒUR)</v>
      </c>
      <c r="E178" s="162" t="str">
        <f>VLOOKUP(VLOOKUP(A178,DB_Locations!A:B,2,FALSE),DB_Patients!A:F,6,FALSE)</f>
        <v>BOUMHAL</v>
      </c>
      <c r="F178" s="162" t="str">
        <f>VLOOKUP(VLOOKUP(A178,DB_Locations!A:B,2,FALSE),DB_Patients!A:M,13,FALSE)</f>
        <v>ESPECE / CNAM</v>
      </c>
      <c r="G178" s="162" t="str">
        <f>VLOOKUP(VLOOKUP(A178,DB_Locations!A:B,2,FALSE),DB_Patients!A:L,12,FALSE)</f>
        <v xml:space="preserve">INES LAOUINI </v>
      </c>
      <c r="H178" s="162" t="str">
        <f>VLOOKUP(A178,DB_Locations!A:F,6,FALSE)</f>
        <v>SOUHAIEB BEN SAHRA</v>
      </c>
      <c r="I178" s="162">
        <f>VLOOKUP(A178,DB_Locations!A:G,7,FALSE)</f>
        <v>0</v>
      </c>
      <c r="J178" s="162" t="str">
        <f>VLOOKUP(VLOOKUP(A178,DB_Locations!A:C,3,FALSE),DB_Appareils!A:B,2,FALSE)</f>
        <v>VNI</v>
      </c>
      <c r="K178" s="161" t="str">
        <f>VLOOKUP(A178,DB_Locations!A:D,4,FALSE)</f>
        <v>***</v>
      </c>
      <c r="L178" s="161" t="str" cm="1">
        <f t="array" ref="L178">IF(COUNTIF(DB_Paiements!B:B,A178)=0,"",LOOKUP(2,1/(DB_Paiements!B:B=A178),DB_Paiements!D:D))</f>
        <v>***</v>
      </c>
      <c r="M178" s="161" t="str" cm="1">
        <f t="array" ref="M178">IF(COUNTIF(DB_Paiements!B:B,A178)=0,"",LOOKUP(2,1/(DB_Paiements!B:B=A178),DB_Paiements!E:E))</f>
        <v>***</v>
      </c>
      <c r="N178" s="162" t="str" cm="1">
        <f t="array" ref="N178">IF(COUNTIF(DB_Paiements!B:B,A178)=0,"",LOOKUP(2,1/(DB_Paiements!B:B=A178),DB_Paiements!G:G))</f>
        <v>CNAM</v>
      </c>
      <c r="O178" s="162" t="e" cm="1">
        <f t="array" ref="O178">IF(COUNTIF(DB_Paiements!B:B,A178)=0,"",LOOKUP(2,1/(DB_Paiements!B:B=A178),DB_Paiements!F:F))</f>
        <v>#VALUE!</v>
      </c>
      <c r="P178" s="160"/>
      <c r="Q178" s="162" t="e">
        <f t="shared" ref="Q178" ca="1" si="22">IF(M178&lt;&gt;"",TODAY()-M178,"")</f>
        <v>#VALUE!</v>
      </c>
      <c r="R178" s="162" t="str">
        <f>VLOOKUP(VLOOKUP(A178,DB_Locations!A:C,3,FALSE),DB_Appareils!A:F,6,FALSE)</f>
        <v>En location</v>
      </c>
      <c r="S178" s="162" t="str">
        <f>VLOOKUP(A178,DB_Locations!A:I,9,FALSE)</f>
        <v>ACTIF</v>
      </c>
      <c r="T178" s="162"/>
      <c r="U178" s="162"/>
      <c r="V178" s="164" t="str">
        <f t="shared" ca="1" si="20"/>
        <v/>
      </c>
      <c r="W178" s="164" t="s">
        <v>2321</v>
      </c>
    </row>
    <row r="179" spans="1:23" x14ac:dyDescent="0.25">
      <c r="A179" s="162" t="s">
        <v>2306</v>
      </c>
      <c r="B179" s="162" t="str">
        <f>VLOOKUP(VLOOKUP(A179,DB_Locations!A:B,2,FALSE),DB_Patients!A:B,2,FALSE)</f>
        <v>LOGHMARI NAJIB</v>
      </c>
      <c r="C179" s="162" t="str">
        <f>VLOOKUP(VLOOKUP(A179,DB_Locations!A:B,2,FALSE),DB_Patients!A:H,8,FALSE)&amp;IF(VLOOKUP(VLOOKUP(A179,DB_Locations!A:B,2,FALSE),DB_Patients!A:I,9,FALSE)&lt;&gt;""," ("&amp;VLOOKUP(VLOOKUP(A179,DB_Locations!A:B,2,FALSE),DB_Patients!A:I,9,FALSE)&amp;")","")</f>
        <v>24581999 (PERSONNELLE)</v>
      </c>
      <c r="D179" s="162" t="str">
        <f>VLOOKUP(VLOOKUP(A179,DB_Locations!A:B,2,FALSE),DB_Patients!A:J,10,FALSE)&amp;" ("&amp;VLOOKUP(VLOOKUP(A179,DB_Locations!A:B,2,FALSE),DB_Patients!A:K,11,FALSE)&amp;")"</f>
        <v>20801569 (FEMME)</v>
      </c>
      <c r="E179" s="162" t="str">
        <f>VLOOKUP(VLOOKUP(A179,DB_Locations!A:B,2,FALSE),DB_Patients!A:F,6,FALSE)</f>
        <v>MSAKEN</v>
      </c>
      <c r="F179" s="162" t="str">
        <f>VLOOKUP(VLOOKUP(A179,DB_Locations!A:B,2,FALSE),DB_Patients!A:M,13,FALSE)</f>
        <v>CNAM</v>
      </c>
      <c r="G179" s="162" t="str">
        <f>VLOOKUP(VLOOKUP(A179,DB_Locations!A:B,2,FALSE),DB_Patients!A:L,12,FALSE)</f>
        <v>IMEN MJANDEL</v>
      </c>
      <c r="H179" s="162" t="str">
        <f>VLOOKUP(A179,DB_Locations!A:F,6,FALSE)</f>
        <v>BILEL BOUHLEL</v>
      </c>
      <c r="I179" s="162">
        <f>VLOOKUP(A179,DB_Locations!A:G,7,FALSE)</f>
        <v>0</v>
      </c>
      <c r="J179" s="162" t="str">
        <f>VLOOKUP(VLOOKUP(A179,DB_Locations!A:C,3,FALSE),DB_Appareils!A:B,2,FALSE)</f>
        <v>VNI</v>
      </c>
      <c r="K179" s="161">
        <f>VLOOKUP(A179,DB_Locations!A:D,4,FALSE)</f>
        <v>45785</v>
      </c>
      <c r="L179" s="161" cm="1">
        <f t="array" ref="L179">IF(COUNTIF(DB_Paiements!B:B,A179)=0,"",LOOKUP(2,1/(DB_Paiements!B:B=A179),DB_Paiements!D:D))</f>
        <v>45786</v>
      </c>
      <c r="M179" s="161" cm="1">
        <f t="array" ref="M179">IF(COUNTIF(DB_Paiements!B:B,A179)=0,"",LOOKUP(2,1/(DB_Paiements!B:B=A179),DB_Paiements!E:E))</f>
        <v>45877</v>
      </c>
      <c r="N179" s="162" t="str" cm="1">
        <f t="array" ref="N179">IF(COUNTIF(DB_Paiements!B:B,A179)=0,"",LOOKUP(2,1/(DB_Paiements!B:B=A179),DB_Paiements!G:G))</f>
        <v>CNAM</v>
      </c>
      <c r="O179" s="162" cm="1">
        <f t="array" ref="O179">IF(COUNTIF(DB_Paiements!B:B,A179)=0,"",LOOKUP(2,1/(DB_Paiements!B:B=A179),DB_Paiements!F:F))</f>
        <v>1290</v>
      </c>
      <c r="P179" s="160" t="s">
        <v>2486</v>
      </c>
      <c r="Q179" s="162">
        <f t="shared" ref="Q179:Q180" ca="1" si="23">IF(M179&lt;&gt;"",TODAY()-M179,"")</f>
        <v>18</v>
      </c>
      <c r="R179" s="162" t="str">
        <f>VLOOKUP(VLOOKUP(A179,DB_Locations!A:C,3,FALSE),DB_Appareils!A:F,6,FALSE)</f>
        <v>En location</v>
      </c>
      <c r="S179" s="162" t="str">
        <f>VLOOKUP(A179,DB_Locations!A:I,9,FALSE)</f>
        <v>ACTIF</v>
      </c>
      <c r="T179" s="162" t="s">
        <v>2329</v>
      </c>
      <c r="U179" s="163">
        <v>45891</v>
      </c>
      <c r="V179" s="164">
        <f t="shared" ca="1" si="20"/>
        <v>4</v>
      </c>
      <c r="W179" s="164"/>
    </row>
    <row r="180" spans="1:23" x14ac:dyDescent="0.25">
      <c r="A180" s="162" t="s">
        <v>2312</v>
      </c>
      <c r="B180" s="162" t="str">
        <f>VLOOKUP(VLOOKUP(A180,DB_Locations!A:B,2,FALSE),DB_Patients!A:B,2,FALSE)</f>
        <v>SALAH TAHER</v>
      </c>
      <c r="C180" s="162" t="str">
        <f>VLOOKUP(VLOOKUP(A180,DB_Locations!A:B,2,FALSE),DB_Patients!A:H,8,FALSE)&amp;IF(VLOOKUP(VLOOKUP(A180,DB_Locations!A:B,2,FALSE),DB_Patients!A:I,9,FALSE)&lt;&gt;""," ("&amp;VLOOKUP(VLOOKUP(A180,DB_Locations!A:B,2,FALSE),DB_Patients!A:I,9,FALSE)&amp;")","")</f>
        <v>96013266</v>
      </c>
      <c r="D180" s="162" t="str">
        <f>VLOOKUP(VLOOKUP(A180,DB_Locations!A:B,2,FALSE),DB_Patients!A:J,10,FALSE)&amp;" ("&amp;VLOOKUP(VLOOKUP(A180,DB_Locations!A:B,2,FALSE),DB_Patients!A:K,11,FALSE)&amp;")"</f>
        <v xml:space="preserve"> ()</v>
      </c>
      <c r="E180" s="162" t="str">
        <f>VLOOKUP(VLOOKUP(A180,DB_Locations!A:B,2,FALSE),DB_Patients!A:F,6,FALSE)</f>
        <v>MSAKEN</v>
      </c>
      <c r="F180" s="162" t="str">
        <f>VLOOKUP(VLOOKUP(A180,DB_Locations!A:B,2,FALSE),DB_Patients!A:M,13,FALSE)</f>
        <v>CNAM</v>
      </c>
      <c r="G180" s="162" t="str">
        <f>VLOOKUP(VLOOKUP(A180,DB_Locations!A:B,2,FALSE),DB_Patients!A:L,12,FALSE)</f>
        <v>IMEN MJANDEL</v>
      </c>
      <c r="H180" s="162" t="str">
        <f>VLOOKUP(A180,DB_Locations!A:F,6,FALSE)</f>
        <v>BILEL BOUHLEL</v>
      </c>
      <c r="I180" s="162">
        <f>VLOOKUP(A180,DB_Locations!A:G,7,FALSE)</f>
        <v>0</v>
      </c>
      <c r="J180" s="162" t="str">
        <f>VLOOKUP(VLOOKUP(A180,DB_Locations!A:C,3,FALSE),DB_Appareils!A:B,2,FALSE)</f>
        <v>VNI</v>
      </c>
      <c r="K180" s="161">
        <f>VLOOKUP(A180,DB_Locations!A:D,4,FALSE)</f>
        <v>45810</v>
      </c>
      <c r="L180" s="161" cm="1">
        <f t="array" ref="L180">IF(COUNTIF(DB_Paiements!B:B,A180)=0,"",LOOKUP(2,1/(DB_Paiements!B:B=A180),DB_Paiements!D:D))</f>
        <v>45812</v>
      </c>
      <c r="M180" s="161" cm="1">
        <f t="array" ref="M180">IF(COUNTIF(DB_Paiements!B:B,A180)=0,"",LOOKUP(2,1/(DB_Paiements!B:B=A180),DB_Paiements!E:E))</f>
        <v>45903</v>
      </c>
      <c r="N180" s="162" t="str" cm="1">
        <f t="array" ref="N180">IF(COUNTIF(DB_Paiements!B:B,A180)=0,"",LOOKUP(2,1/(DB_Paiements!B:B=A180),DB_Paiements!G:G))</f>
        <v>CNAM</v>
      </c>
      <c r="O180" s="162" cm="1">
        <f t="array" ref="O180">IF(COUNTIF(DB_Paiements!B:B,A180)=0,"",LOOKUP(2,1/(DB_Paiements!B:B=A180),DB_Paiements!F:F))</f>
        <v>1290</v>
      </c>
      <c r="P180" s="160"/>
      <c r="Q180" s="162">
        <f t="shared" ca="1" si="23"/>
        <v>-8</v>
      </c>
      <c r="R180" s="162" t="str">
        <f>VLOOKUP(VLOOKUP(A180,DB_Locations!A:C,3,FALSE),DB_Appareils!A:F,6,FALSE)</f>
        <v>En location</v>
      </c>
      <c r="S180" s="162" t="str">
        <f>VLOOKUP(A180,DB_Locations!A:I,9,FALSE)</f>
        <v>ACTIF</v>
      </c>
      <c r="T180" s="162"/>
      <c r="U180" s="162"/>
      <c r="V180" s="162"/>
      <c r="W180" s="164"/>
    </row>
    <row r="181" spans="1:23" x14ac:dyDescent="0.25">
      <c r="A181" s="162" t="s">
        <v>2332</v>
      </c>
      <c r="B181" s="162" t="str">
        <f>VLOOKUP(VLOOKUP(A181,DB_Locations!A:B,2,FALSE),DB_Patients!A:B,2,FALSE)</f>
        <v>BEN MANSOUR BAHIJA</v>
      </c>
      <c r="C181" s="162" t="str">
        <f>VLOOKUP(VLOOKUP(A181,DB_Locations!A:B,2,FALSE),DB_Patients!A:H,8,FALSE)&amp;IF(VLOOKUP(VLOOKUP(A181,DB_Locations!A:B,2,FALSE),DB_Patients!A:I,9,FALSE)&lt;&gt;""," ("&amp;VLOOKUP(VLOOKUP(A181,DB_Locations!A:B,2,FALSE),DB_Patients!A:I,9,FALSE)&amp;")","")</f>
        <v>51996997 (MOHAMED)</v>
      </c>
      <c r="D181" s="162" t="str">
        <f>VLOOKUP(VLOOKUP(A181,DB_Locations!A:B,2,FALSE),DB_Patients!A:J,10,FALSE)&amp;" ("&amp;VLOOKUP(VLOOKUP(A181,DB_Locations!A:B,2,FALSE),DB_Patients!A:K,11,FALSE)&amp;")"</f>
        <v xml:space="preserve"> ()</v>
      </c>
      <c r="E181" s="162" t="str">
        <f>VLOOKUP(VLOOKUP(A181,DB_Locations!A:B,2,FALSE),DB_Patients!A:F,6,FALSE)</f>
        <v>MSAKEN</v>
      </c>
      <c r="F181" s="162" t="str">
        <f>VLOOKUP(VLOOKUP(A181,DB_Locations!A:B,2,FALSE),DB_Patients!A:M,13,FALSE)</f>
        <v>***</v>
      </c>
      <c r="G181" s="162" t="str">
        <f>VLOOKUP(VLOOKUP(A181,DB_Locations!A:B,2,FALSE),DB_Patients!A:L,12,FALSE)</f>
        <v>***</v>
      </c>
      <c r="H181" s="162" t="str">
        <f>VLOOKUP(A181,DB_Locations!A:F,6,FALSE)</f>
        <v>MOHAMED</v>
      </c>
      <c r="I181" s="162">
        <f>VLOOKUP(A181,DB_Locations!A:G,7,FALSE)</f>
        <v>0</v>
      </c>
      <c r="J181" s="162" t="str">
        <f>VLOOKUP(VLOOKUP(A181,DB_Locations!A:C,3,FALSE),DB_Appareils!A:B,2,FALSE)</f>
        <v>CONCENTRATEUR O2</v>
      </c>
      <c r="K181" s="161">
        <f>VLOOKUP(A181,DB_Locations!A:D,4,FALSE)</f>
        <v>45889</v>
      </c>
      <c r="L181" s="161" cm="1">
        <f t="array" aca="1" ref="L181" ca="1">IF(COUNTIF(DB_Paiements!B:B,A181)=0,"",LOOKUP(2,1/(DB_Paiements!B:B=A181),DB_Paiements!D:D))</f>
        <v>45895</v>
      </c>
      <c r="M181" s="161" cm="1">
        <f t="array" ref="M181">IF(COUNTIF(DB_Paiements!B:B,A181)=0,"",LOOKUP(2,1/(DB_Paiements!B:B=A181),DB_Paiements!E:E))</f>
        <v>45889</v>
      </c>
      <c r="N181" s="162" t="str" cm="1">
        <f t="array" ref="N181">IF(COUNTIF(DB_Paiements!B:B,A181)=0,"",LOOKUP(2,1/(DB_Paiements!B:B=A181),DB_Paiements!G:G))</f>
        <v>GRATUIT</v>
      </c>
      <c r="O181" s="162" cm="1">
        <f t="array" aca="1" ref="O181" ca="1">IF(COUNTIF(DB_Paiements!B:B,A181)=0,"",LOOKUP(2,1/(DB_Paiements!B:B=A181),DB_Paiements!F:F))</f>
        <v>0</v>
      </c>
      <c r="P181" s="160"/>
      <c r="Q181" s="162">
        <f t="shared" ref="Q181:Q185" ca="1" si="24">IF(M181&lt;&gt;"",TODAY()-M181,"")</f>
        <v>6</v>
      </c>
      <c r="R181" s="162" t="str">
        <f>VLOOKUP(VLOOKUP(A181,DB_Locations!A:C,3,FALSE),DB_Appareils!A:F,6,FALSE)</f>
        <v>En location</v>
      </c>
      <c r="S181" s="162" t="str">
        <f>VLOOKUP(A181,DB_Locations!A:I,9,FALSE)</f>
        <v>ACTIF</v>
      </c>
      <c r="T181" s="162"/>
      <c r="U181" s="162"/>
      <c r="V181" s="162"/>
      <c r="W181" s="164"/>
    </row>
    <row r="182" spans="1:23" ht="19.5" hidden="1" customHeight="1" x14ac:dyDescent="0.25">
      <c r="A182" s="162" t="s">
        <v>2334</v>
      </c>
      <c r="B182" s="162" t="e">
        <f>VLOOKUP(VLOOKUP(A182,DB_Locations!A:B,2,FALSE),DB_Patients!A:B,2,FALSE)</f>
        <v>#N/A</v>
      </c>
      <c r="C182" s="162" t="e">
        <f>VLOOKUP(VLOOKUP(A182,DB_Locations!A:B,2,FALSE),DB_Patients!A:H,8,FALSE)&amp;IF(VLOOKUP(VLOOKUP(A182,DB_Locations!A:B,2,FALSE),DB_Patients!A:I,9,FALSE)&lt;&gt;""," ("&amp;VLOOKUP(VLOOKUP(A182,DB_Locations!A:B,2,FALSE),DB_Patients!A:I,9,FALSE)&amp;")","")</f>
        <v>#N/A</v>
      </c>
      <c r="D182" s="162" t="e">
        <f>VLOOKUP(VLOOKUP(A182,DB_Locations!A:B,2,FALSE),DB_Patients!A:J,10,FALSE)&amp;" ("&amp;VLOOKUP(VLOOKUP(A182,DB_Locations!A:B,2,FALSE),DB_Patients!A:K,11,FALSE)&amp;")"</f>
        <v>#N/A</v>
      </c>
      <c r="E182" s="162" t="e">
        <f>VLOOKUP(VLOOKUP(A182,DB_Locations!A:B,2,FALSE),DB_Patients!A:F,6,FALSE)</f>
        <v>#N/A</v>
      </c>
      <c r="F182" s="162" t="e">
        <f>VLOOKUP(VLOOKUP(A182,DB_Locations!A:B,2,FALSE),DB_Patients!A:M,13,FALSE)</f>
        <v>#N/A</v>
      </c>
      <c r="G182" s="162" t="e">
        <f>VLOOKUP(VLOOKUP(A182,DB_Locations!A:B,2,FALSE),DB_Patients!A:L,12,FALSE)</f>
        <v>#N/A</v>
      </c>
      <c r="H182" s="162" t="e">
        <f>VLOOKUP(A182,DB_Locations!A:F,6,FALSE)</f>
        <v>#N/A</v>
      </c>
      <c r="I182" s="162" t="e">
        <f>VLOOKUP(A182,DB_Locations!A:G,7,FALSE)</f>
        <v>#N/A</v>
      </c>
      <c r="J182" s="162" t="e">
        <f>VLOOKUP(VLOOKUP(A182,DB_Locations!A:C,3,FALSE),DB_Appareils!A:B,2,FALSE)</f>
        <v>#N/A</v>
      </c>
      <c r="K182" s="161" t="e">
        <f>VLOOKUP(A182,DB_Locations!A:D,4,FALSE)</f>
        <v>#N/A</v>
      </c>
      <c r="L182" s="161" t="str" cm="1">
        <f t="array" ref="L182">IF(COUNTIF(DB_Paiements!B:B,A182)=0,"",LOOKUP(2,1/(DB_Paiements!B:B=A182),DB_Paiements!D:D))</f>
        <v/>
      </c>
      <c r="M182" s="161" t="str" cm="1">
        <f t="array" ref="M182">IF(COUNTIF(DB_Paiements!B:B,A182)=0,"",LOOKUP(2,1/(DB_Paiements!B:B=A182),DB_Paiements!E:E))</f>
        <v/>
      </c>
      <c r="N182" s="162" t="str" cm="1">
        <f t="array" ref="N182">IF(COUNTIF(DB_Paiements!B:B,A182)=0,"",LOOKUP(2,1/(DB_Paiements!B:B=A182),DB_Paiements!G:G))</f>
        <v/>
      </c>
      <c r="O182" s="162" t="str" cm="1">
        <f t="array" ref="O182">IF(COUNTIF(DB_Paiements!B:B,A182)=0,"",LOOKUP(2,1/(DB_Paiements!B:B=A182),DB_Paiements!F:F))</f>
        <v/>
      </c>
      <c r="P182" s="160"/>
      <c r="Q182" s="162" t="str">
        <f t="shared" ca="1" si="24"/>
        <v/>
      </c>
      <c r="R182" s="162" t="e">
        <f>VLOOKUP(VLOOKUP(A182,DB_Locations!A:C,3,FALSE),DB_Appareils!A:F,6,FALSE)</f>
        <v>#N/A</v>
      </c>
      <c r="S182" s="162" t="e">
        <f>VLOOKUP(A182,DB_Locations!A:I,9,FALSE)</f>
        <v>#N/A</v>
      </c>
      <c r="T182" s="162"/>
      <c r="U182" s="162"/>
      <c r="V182" s="162"/>
      <c r="W182" s="164"/>
    </row>
    <row r="183" spans="1:23" x14ac:dyDescent="0.25">
      <c r="A183" s="162" t="s">
        <v>2347</v>
      </c>
      <c r="B183" s="162" t="str">
        <f>VLOOKUP(VLOOKUP(A183,DB_Locations!A:B,2,FALSE),DB_Patients!A:B,2,FALSE)</f>
        <v>ACHECH CHADLIA (MAKRAM HMIDA)</v>
      </c>
      <c r="C183" s="162" t="str">
        <f>VLOOKUP(VLOOKUP(A183,DB_Locations!A:B,2,FALSE),DB_Patients!A:H,8,FALSE)&amp;IF(VLOOKUP(VLOOKUP(A183,DB_Locations!A:B,2,FALSE),DB_Patients!A:I,9,FALSE)&lt;&gt;""," ("&amp;VLOOKUP(VLOOKUP(A183,DB_Locations!A:B,2,FALSE),DB_Patients!A:I,9,FALSE)&amp;")","")</f>
        <v>28468000 (MAKRAM)</v>
      </c>
      <c r="D183" s="162" t="str">
        <f>VLOOKUP(VLOOKUP(A183,DB_Locations!A:B,2,FALSE),DB_Patients!A:J,10,FALSE)&amp;" ("&amp;VLOOKUP(VLOOKUP(A183,DB_Locations!A:B,2,FALSE),DB_Patients!A:K,11,FALSE)&amp;")"</f>
        <v xml:space="preserve"> ()</v>
      </c>
      <c r="E183" s="162" t="str">
        <f>VLOOKUP(VLOOKUP(A183,DB_Locations!A:B,2,FALSE),DB_Patients!A:F,6,FALSE)</f>
        <v xml:space="preserve">MSAKEN </v>
      </c>
      <c r="F183" s="162" t="str">
        <f>VLOOKUP(VLOOKUP(A183,DB_Locations!A:B,2,FALSE),DB_Patients!A:M,13,FALSE)</f>
        <v>***</v>
      </c>
      <c r="G183" s="162" t="str">
        <f>VLOOKUP(VLOOKUP(A183,DB_Locations!A:B,2,FALSE),DB_Patients!A:L,12,FALSE)</f>
        <v>***</v>
      </c>
      <c r="H183" s="162" t="str">
        <f>VLOOKUP(A183,DB_Locations!A:F,6,FALSE)</f>
        <v>BILEL BOUHLEL</v>
      </c>
      <c r="I183" s="162">
        <f>VLOOKUP(A183,DB_Locations!A:G,7,FALSE)</f>
        <v>0</v>
      </c>
      <c r="J183" s="162" t="str">
        <f>VLOOKUP(VLOOKUP(A183,DB_Locations!A:C,3,FALSE),DB_Appareils!A:B,2,FALSE)</f>
        <v xml:space="preserve">CONCENTRATEUR O2 </v>
      </c>
      <c r="K183" s="161">
        <f>VLOOKUP(A183,DB_Locations!A:D,4,FALSE)</f>
        <v>45885</v>
      </c>
      <c r="L183" s="161" t="str" cm="1">
        <f t="array" ref="L183">IF(COUNTIF(DB_Paiements!B:B,A183)=0,"",LOOKUP(2,1/(DB_Paiements!B:B=A183),DB_Paiements!D:D))</f>
        <v/>
      </c>
      <c r="M183" s="161" t="str" cm="1">
        <f t="array" ref="M183">IF(COUNTIF(DB_Paiements!B:B,A183)=0,"",LOOKUP(2,1/(DB_Paiements!B:B=A183),DB_Paiements!E:E))</f>
        <v/>
      </c>
      <c r="N183" s="162" t="str" cm="1">
        <f t="array" ref="N183">IF(COUNTIF(DB_Paiements!B:B,A183)=0,"",LOOKUP(2,1/(DB_Paiements!B:B=A183),DB_Paiements!G:G))</f>
        <v/>
      </c>
      <c r="O183" s="162" t="str" cm="1">
        <f t="array" ref="O183">IF(COUNTIF(DB_Paiements!B:B,A183)=0,"",LOOKUP(2,1/(DB_Paiements!B:B=A183),DB_Paiements!F:F))</f>
        <v/>
      </c>
      <c r="P183" s="160"/>
      <c r="Q183" s="162" t="str">
        <f t="shared" ca="1" si="24"/>
        <v/>
      </c>
      <c r="R183" s="162" t="str">
        <f>VLOOKUP(VLOOKUP(A183,DB_Locations!A:C,3,FALSE),DB_Appareils!A:F,6,FALSE)</f>
        <v>En location</v>
      </c>
      <c r="S183" s="162" t="str">
        <f>VLOOKUP(A183,DB_Locations!A:I,9,FALSE)</f>
        <v>ACTIF</v>
      </c>
      <c r="T183" s="162"/>
      <c r="U183" s="162"/>
      <c r="V183" s="162"/>
      <c r="W183" s="164"/>
    </row>
    <row r="184" spans="1:23" x14ac:dyDescent="0.25">
      <c r="A184" s="162" t="s">
        <v>2362</v>
      </c>
      <c r="B184" s="162" t="str">
        <f>VLOOKUP(VLOOKUP(A184,DB_Locations!A:B,2,FALSE),DB_Patients!A:B,2,FALSE)</f>
        <v>BNINA MAKKI</v>
      </c>
      <c r="C184" s="162" t="str">
        <f>VLOOKUP(VLOOKUP(A184,DB_Locations!A:B,2,FALSE),DB_Patients!A:H,8,FALSE)&amp;IF(VLOOKUP(VLOOKUP(A184,DB_Locations!A:B,2,FALSE),DB_Patients!A:I,9,FALSE)&lt;&gt;""," ("&amp;VLOOKUP(VLOOKUP(A184,DB_Locations!A:B,2,FALSE),DB_Patients!A:I,9,FALSE)&amp;")","")</f>
        <v>29285144</v>
      </c>
      <c r="D184" s="162" t="str">
        <f>VLOOKUP(VLOOKUP(A184,DB_Locations!A:B,2,FALSE),DB_Patients!A:J,10,FALSE)&amp;" ("&amp;VLOOKUP(VLOOKUP(A184,DB_Locations!A:B,2,FALSE),DB_Patients!A:K,11,FALSE)&amp;")"</f>
        <v>21808952 ()</v>
      </c>
      <c r="E184" s="162" t="str">
        <f>VLOOKUP(VLOOKUP(A184,DB_Locations!A:B,2,FALSE),DB_Patients!A:F,6,FALSE)</f>
        <v xml:space="preserve">CHORBANE </v>
      </c>
      <c r="F184" s="162" t="str">
        <f>VLOOKUP(VLOOKUP(A184,DB_Locations!A:B,2,FALSE),DB_Patients!A:M,13,FALSE)</f>
        <v>CNAM</v>
      </c>
      <c r="G184" s="162" t="str">
        <f>VLOOKUP(VLOOKUP(A184,DB_Locations!A:B,2,FALSE),DB_Patients!A:L,12,FALSE)</f>
        <v>ASMA KNAZ</v>
      </c>
      <c r="H184" s="162" t="str">
        <f>VLOOKUP(A184,DB_Locations!A:F,6,FALSE)</f>
        <v>KARIM</v>
      </c>
      <c r="I184" s="162">
        <f>VLOOKUP(A184,DB_Locations!A:G,7,FALSE)</f>
        <v>0</v>
      </c>
      <c r="J184" s="162" t="str">
        <f>VLOOKUP(VLOOKUP(A184,DB_Locations!A:C,3,FALSE),DB_Appareils!A:B,2,FALSE)</f>
        <v xml:space="preserve">CONCENTRATEUR O2 </v>
      </c>
      <c r="K184" s="161">
        <f>VLOOKUP(A184,DB_Locations!A:D,4,FALSE)</f>
        <v>45892</v>
      </c>
      <c r="L184" s="161" cm="1">
        <f t="array" aca="1" ref="L184" ca="1">IF(COUNTIF(DB_Paiements!B:B,A184)=0,"",LOOKUP(2,1/(DB_Paiements!B:B=A184),DB_Paiements!D:D))</f>
        <v>45895</v>
      </c>
      <c r="M184" s="161" cm="1">
        <f t="array" ref="M184">IF(COUNTIF(DB_Paiements!B:B,A184)=0,"",LOOKUP(2,1/(DB_Paiements!B:B=A184),DB_Paiements!E:E))</f>
        <v>45892</v>
      </c>
      <c r="N184" s="162" t="str" cm="1">
        <f t="array" ref="N184">IF(COUNTIF(DB_Paiements!B:B,A184)=0,"",LOOKUP(2,1/(DB_Paiements!B:B=A184),DB_Paiements!G:G))</f>
        <v>CNAM</v>
      </c>
      <c r="O184" s="162" cm="1">
        <f t="array" aca="1" ref="O184" ca="1">IF(COUNTIF(DB_Paiements!B:B,A184)=0,"",LOOKUP(2,1/(DB_Paiements!B:B=A184),DB_Paiements!F:F))</f>
        <v>0</v>
      </c>
      <c r="P184" s="160"/>
      <c r="Q184" s="162">
        <f t="shared" ca="1" si="24"/>
        <v>3</v>
      </c>
      <c r="R184" s="162" t="str">
        <f>VLOOKUP(VLOOKUP(A184,DB_Locations!A:C,3,FALSE),DB_Appareils!A:F,6,FALSE)</f>
        <v>En location</v>
      </c>
      <c r="S184" s="162" t="str">
        <f>VLOOKUP(A184,DB_Locations!A:I,9,FALSE)</f>
        <v>ACTIF</v>
      </c>
      <c r="T184" s="162"/>
      <c r="U184" s="162"/>
      <c r="V184" s="162"/>
      <c r="W184" s="164"/>
    </row>
    <row r="185" spans="1:23" x14ac:dyDescent="0.25">
      <c r="A185" s="162" t="s">
        <v>2363</v>
      </c>
      <c r="B185" s="162" t="str">
        <f>VLOOKUP(VLOOKUP(A185,DB_Locations!A:B,2,FALSE),DB_Patients!A:B,2,FALSE)</f>
        <v>BNINA MAKKI</v>
      </c>
      <c r="C185" s="162" t="str">
        <f>VLOOKUP(VLOOKUP(A185,DB_Locations!A:B,2,FALSE),DB_Patients!A:H,8,FALSE)&amp;IF(VLOOKUP(VLOOKUP(A185,DB_Locations!A:B,2,FALSE),DB_Patients!A:I,9,FALSE)&lt;&gt;""," ("&amp;VLOOKUP(VLOOKUP(A185,DB_Locations!A:B,2,FALSE),DB_Patients!A:I,9,FALSE)&amp;")","")</f>
        <v>29285144</v>
      </c>
      <c r="D185" s="162" t="str">
        <f>VLOOKUP(VLOOKUP(A185,DB_Locations!A:B,2,FALSE),DB_Patients!A:J,10,FALSE)&amp;" ("&amp;VLOOKUP(VLOOKUP(A185,DB_Locations!A:B,2,FALSE),DB_Patients!A:K,11,FALSE)&amp;")"</f>
        <v>21808952 ()</v>
      </c>
      <c r="E185" s="162" t="str">
        <f>VLOOKUP(VLOOKUP(A185,DB_Locations!A:B,2,FALSE),DB_Patients!A:F,6,FALSE)</f>
        <v xml:space="preserve">CHORBANE </v>
      </c>
      <c r="F185" s="162" t="str">
        <f>VLOOKUP(VLOOKUP(A185,DB_Locations!A:B,2,FALSE),DB_Patients!A:M,13,FALSE)</f>
        <v>CNAM</v>
      </c>
      <c r="G185" s="162" t="str">
        <f>VLOOKUP(VLOOKUP(A185,DB_Locations!A:B,2,FALSE),DB_Patients!A:L,12,FALSE)</f>
        <v>ASMA KNAZ</v>
      </c>
      <c r="H185" s="162" t="str">
        <f>VLOOKUP(A185,DB_Locations!A:F,6,FALSE)</f>
        <v>KARIM</v>
      </c>
      <c r="I185" s="162">
        <f>VLOOKUP(A185,DB_Locations!A:G,7,FALSE)</f>
        <v>0</v>
      </c>
      <c r="J185" s="162" t="str">
        <f>VLOOKUP(VLOOKUP(A185,DB_Locations!A:C,3,FALSE),DB_Appareils!A:B,2,FALSE)</f>
        <v>BOUTEIL O2</v>
      </c>
      <c r="K185" s="161">
        <f>VLOOKUP(A185,DB_Locations!A:D,4,FALSE)</f>
        <v>45892</v>
      </c>
      <c r="L185" s="161" cm="1">
        <f t="array" ref="L185">IF(COUNTIF(DB_Paiements!B:B,A185)=0,"",LOOKUP(2,1/(DB_Paiements!B:B=A185),DB_Paiements!D:D))</f>
        <v>45892</v>
      </c>
      <c r="M185" s="161" cm="1">
        <f t="array" aca="1" ref="M185" ca="1">IF(COUNTIF(DB_Paiements!B:B,A185)=0,"",LOOKUP(2,1/(DB_Paiements!B:B=A185),DB_Paiements!E:E))</f>
        <v>45895</v>
      </c>
      <c r="N185" s="162" t="str" cm="1">
        <f t="array" ref="N185">IF(COUNTIF(DB_Paiements!B:B,A185)=0,"",LOOKUP(2,1/(DB_Paiements!B:B=A185),DB_Paiements!G:G))</f>
        <v>CNAM</v>
      </c>
      <c r="O185" s="162" t="e" cm="1">
        <f t="array" aca="1" ref="O185" ca="1">IF(COUNTIF(DB_Paiements!B:B,A185)=0,"",LOOKUP(2,1/(DB_Paiements!B:B=A185),DB_Paiements!F:F))</f>
        <v>#VALUE!</v>
      </c>
      <c r="P185" s="160"/>
      <c r="Q185" s="162">
        <f t="shared" ca="1" si="24"/>
        <v>0</v>
      </c>
      <c r="R185" s="162" t="str">
        <f>VLOOKUP(VLOOKUP(A185,DB_Locations!A:C,3,FALSE),DB_Appareils!A:F,6,FALSE)</f>
        <v>EN LOCATION</v>
      </c>
      <c r="S185" s="162" t="str">
        <f>VLOOKUP(A185,DB_Locations!A:I,9,FALSE)</f>
        <v>ACTIF</v>
      </c>
      <c r="T185" s="162"/>
      <c r="U185" s="162"/>
      <c r="V185" s="162"/>
      <c r="W185" s="164"/>
    </row>
  </sheetData>
  <autoFilter ref="A3:X185" xr:uid="{00000000-0009-0000-0000-000000000000}">
    <filterColumn colId="18">
      <filters>
        <filter val="Actif"/>
      </filters>
    </filterColumn>
    <sortState xmlns:xlrd2="http://schemas.microsoft.com/office/spreadsheetml/2017/richdata2" ref="A6:X145">
      <sortCondition descending="1" ref="B3:B185"/>
    </sortState>
  </autoFilter>
  <mergeCells count="38">
    <mergeCell ref="Y4:Z4"/>
    <mergeCell ref="Y10:Z10"/>
    <mergeCell ref="Y37:Z37"/>
    <mergeCell ref="Y28:Z28"/>
    <mergeCell ref="A1:W1"/>
    <mergeCell ref="Y36:Z36"/>
    <mergeCell ref="Y18:Z18"/>
    <mergeCell ref="Y27:Z27"/>
    <mergeCell ref="Y3:Z3"/>
    <mergeCell ref="Y2:Z2"/>
    <mergeCell ref="Y11:Z11"/>
    <mergeCell ref="Y1:Z1"/>
    <mergeCell ref="Y23:Z23"/>
    <mergeCell ref="Y8:Z8"/>
    <mergeCell ref="Y22:Z22"/>
    <mergeCell ref="Y17:Z17"/>
    <mergeCell ref="Y9:Z9"/>
    <mergeCell ref="Y21:Z21"/>
    <mergeCell ref="Y12:Z12"/>
    <mergeCell ref="Y5:Z5"/>
    <mergeCell ref="Y20:Z20"/>
    <mergeCell ref="Y7:Z7"/>
    <mergeCell ref="Y6:Z6"/>
    <mergeCell ref="Y19:Z19"/>
    <mergeCell ref="Y13:Z13"/>
    <mergeCell ref="Y16:Z16"/>
    <mergeCell ref="Y32:Z32"/>
    <mergeCell ref="Y14:Z14"/>
    <mergeCell ref="Y35:Z35"/>
    <mergeCell ref="Y26:Z26"/>
    <mergeCell ref="Y31:Z31"/>
    <mergeCell ref="Y34:Z34"/>
    <mergeCell ref="Y24:Z24"/>
    <mergeCell ref="Y30:Z30"/>
    <mergeCell ref="Y15:Z15"/>
    <mergeCell ref="Y33:Z33"/>
    <mergeCell ref="Y29:Z29"/>
    <mergeCell ref="Y25:Z25"/>
  </mergeCells>
  <phoneticPr fontId="11" type="noConversion"/>
  <conditionalFormatting sqref="P4:P185">
    <cfRule type="expression" dxfId="4" priority="10">
      <formula>AND($P4&lt;&gt;"", $P4&lt;=TODAY())</formula>
    </cfRule>
    <cfRule type="expression" dxfId="3" priority="11">
      <formula>AND($P4&lt;&gt;"", $P4&gt;TODAY(), $P4&lt;=TODAY()+3)</formula>
    </cfRule>
  </conditionalFormatting>
  <conditionalFormatting sqref="Q4:Q185">
    <cfRule type="expression" dxfId="2" priority="7">
      <formula>$Q4&gt;7</formula>
    </cfRule>
    <cfRule type="expression" dxfId="1" priority="8">
      <formula>AND($Q4&gt;0,$Q4&lt;=7)</formula>
    </cfRule>
    <cfRule type="expression" dxfId="0" priority="9">
      <formula>$Q4&lt;=0</formula>
    </cfRule>
  </conditionalFormatting>
  <conditionalFormatting sqref="V4:V5">
    <cfRule type="colorScale" priority="2">
      <colorScale>
        <cfvo type="min"/>
        <cfvo type="percentile" val="20"/>
        <cfvo type="max"/>
        <color rgb="FF00B050"/>
        <color rgb="FFFFFF00"/>
        <color rgb="FFFF0000"/>
      </colorScale>
    </cfRule>
  </conditionalFormatting>
  <conditionalFormatting sqref="V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319"/>
  <sheetViews>
    <sheetView zoomScaleNormal="100" workbookViewId="0">
      <selection activeCell="B143" sqref="B143"/>
    </sheetView>
  </sheetViews>
  <sheetFormatPr defaultRowHeight="15" x14ac:dyDescent="0.25"/>
  <cols>
    <col min="1" max="1" width="10" customWidth="1"/>
    <col min="2" max="2" width="48.42578125" bestFit="1" customWidth="1"/>
    <col min="3" max="3" width="17.28515625" bestFit="1" customWidth="1"/>
    <col min="4" max="4" width="14.42578125" bestFit="1" customWidth="1"/>
    <col min="5" max="5" width="12.7109375" bestFit="1" customWidth="1"/>
    <col min="6" max="6" width="22" bestFit="1" customWidth="1"/>
    <col min="7" max="7" width="83.140625" bestFit="1" customWidth="1"/>
    <col min="8" max="8" width="32.28515625" bestFit="1" customWidth="1"/>
    <col min="9" max="9" width="22.140625" bestFit="1" customWidth="1"/>
    <col min="10" max="10" width="21.140625" bestFit="1" customWidth="1"/>
    <col min="11" max="11" width="16.7109375" bestFit="1" customWidth="1"/>
    <col min="12" max="12" width="70.85546875" bestFit="1" customWidth="1"/>
    <col min="13" max="13" width="16.42578125" bestFit="1" customWidth="1"/>
    <col min="14" max="14" width="23.42578125" bestFit="1" customWidth="1"/>
    <col min="15" max="15" width="7.140625" customWidth="1"/>
    <col min="16" max="16" width="14.7109375" bestFit="1" customWidth="1"/>
    <col min="17" max="17" width="248.5703125" bestFit="1" customWidth="1"/>
    <col min="20" max="21" width="25" customWidth="1"/>
  </cols>
  <sheetData>
    <row r="1" spans="1:22" ht="30" x14ac:dyDescent="0.25">
      <c r="A1" s="12" t="s">
        <v>714</v>
      </c>
      <c r="B1" s="12" t="s">
        <v>715</v>
      </c>
      <c r="C1" s="12" t="s">
        <v>55</v>
      </c>
      <c r="D1" s="12" t="s">
        <v>716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60</v>
      </c>
      <c r="J1" s="12" t="s">
        <v>61</v>
      </c>
      <c r="K1" s="12" t="s">
        <v>62</v>
      </c>
      <c r="L1" s="12" t="s">
        <v>9</v>
      </c>
      <c r="M1" s="12" t="s">
        <v>8</v>
      </c>
      <c r="N1" s="12" t="s">
        <v>563</v>
      </c>
      <c r="O1" s="12" t="s">
        <v>63</v>
      </c>
      <c r="P1" s="12" t="s">
        <v>918</v>
      </c>
      <c r="Q1" s="12" t="s">
        <v>64</v>
      </c>
      <c r="T1" s="145" t="s">
        <v>65</v>
      </c>
      <c r="U1" s="142"/>
    </row>
    <row r="2" spans="1:22" ht="15.75" x14ac:dyDescent="0.25">
      <c r="A2" s="122" t="s">
        <v>66</v>
      </c>
      <c r="B2" s="16" t="s">
        <v>247</v>
      </c>
      <c r="C2" s="16" t="s">
        <v>545</v>
      </c>
      <c r="D2" s="20"/>
      <c r="E2" s="16" t="s">
        <v>248</v>
      </c>
      <c r="F2" s="16" t="s">
        <v>249</v>
      </c>
      <c r="G2" s="16" t="s">
        <v>250</v>
      </c>
      <c r="H2" s="18">
        <v>98534317</v>
      </c>
      <c r="I2" s="16" t="s">
        <v>251</v>
      </c>
      <c r="J2" s="18">
        <v>25091528</v>
      </c>
      <c r="K2" s="16" t="s">
        <v>252</v>
      </c>
      <c r="L2" s="16" t="s">
        <v>2420</v>
      </c>
      <c r="M2" s="16" t="s">
        <v>67</v>
      </c>
      <c r="N2" s="16" t="s">
        <v>877</v>
      </c>
      <c r="O2" s="16" t="s">
        <v>253</v>
      </c>
      <c r="P2" s="16" t="s">
        <v>987</v>
      </c>
      <c r="Q2" s="16" t="s">
        <v>254</v>
      </c>
      <c r="U2" s="143" t="s">
        <v>69</v>
      </c>
      <c r="V2" s="144"/>
    </row>
    <row r="3" spans="1:22" s="49" customFormat="1" ht="15.75" x14ac:dyDescent="0.25">
      <c r="A3" s="122" t="s">
        <v>70</v>
      </c>
      <c r="B3" s="46" t="s">
        <v>255</v>
      </c>
      <c r="C3" s="46" t="s">
        <v>546</v>
      </c>
      <c r="D3" s="47">
        <v>13250</v>
      </c>
      <c r="E3" s="46" t="s">
        <v>1117</v>
      </c>
      <c r="F3" s="46" t="s">
        <v>257</v>
      </c>
      <c r="G3" s="46" t="s">
        <v>2109</v>
      </c>
      <c r="H3" s="48">
        <v>22899936</v>
      </c>
      <c r="I3" s="46" t="s">
        <v>258</v>
      </c>
      <c r="J3" s="48" t="s">
        <v>2110</v>
      </c>
      <c r="K3" s="46" t="s">
        <v>2111</v>
      </c>
      <c r="L3" s="46" t="s">
        <v>2407</v>
      </c>
      <c r="M3" s="46" t="s">
        <v>67</v>
      </c>
      <c r="N3" s="46" t="s">
        <v>2112</v>
      </c>
      <c r="O3" s="46" t="s">
        <v>253</v>
      </c>
      <c r="P3" s="46" t="s">
        <v>988</v>
      </c>
      <c r="Q3" s="46" t="s">
        <v>2113</v>
      </c>
      <c r="U3" s="146" t="s">
        <v>71</v>
      </c>
      <c r="V3" s="147"/>
    </row>
    <row r="4" spans="1:22" s="49" customFormat="1" ht="15.75" x14ac:dyDescent="0.25">
      <c r="A4" s="122" t="s">
        <v>72</v>
      </c>
      <c r="B4" s="46" t="s">
        <v>260</v>
      </c>
      <c r="C4" s="46" t="s">
        <v>547</v>
      </c>
      <c r="D4" s="47">
        <v>24202</v>
      </c>
      <c r="E4" s="46" t="s">
        <v>248</v>
      </c>
      <c r="F4" s="46" t="s">
        <v>261</v>
      </c>
      <c r="G4" s="46" t="s">
        <v>2160</v>
      </c>
      <c r="H4" s="48">
        <v>94811779</v>
      </c>
      <c r="I4" s="46" t="s">
        <v>865</v>
      </c>
      <c r="J4" s="48">
        <v>51045850</v>
      </c>
      <c r="K4" s="46" t="s">
        <v>866</v>
      </c>
      <c r="L4" s="46" t="s">
        <v>2406</v>
      </c>
      <c r="M4" s="46" t="s">
        <v>67</v>
      </c>
      <c r="N4" s="46" t="s">
        <v>564</v>
      </c>
      <c r="O4" s="46" t="s">
        <v>253</v>
      </c>
      <c r="P4" s="46" t="s">
        <v>987</v>
      </c>
      <c r="Q4" s="46" t="s">
        <v>2161</v>
      </c>
      <c r="U4" s="146" t="s">
        <v>73</v>
      </c>
      <c r="V4" s="147"/>
    </row>
    <row r="5" spans="1:22" s="49" customFormat="1" ht="15.75" x14ac:dyDescent="0.25">
      <c r="A5" s="122" t="s">
        <v>74</v>
      </c>
      <c r="B5" s="46" t="s">
        <v>262</v>
      </c>
      <c r="C5" s="46" t="s">
        <v>2117</v>
      </c>
      <c r="D5" s="47">
        <v>14171</v>
      </c>
      <c r="E5" s="46" t="s">
        <v>263</v>
      </c>
      <c r="F5" s="46" t="s">
        <v>264</v>
      </c>
      <c r="G5" s="46" t="s">
        <v>264</v>
      </c>
      <c r="H5" s="91">
        <v>29721073</v>
      </c>
      <c r="I5" s="48">
        <v>96272805</v>
      </c>
      <c r="J5" s="72"/>
      <c r="K5" s="46" t="s">
        <v>265</v>
      </c>
      <c r="L5" s="46" t="s">
        <v>2424</v>
      </c>
      <c r="M5" s="46" t="s">
        <v>67</v>
      </c>
      <c r="N5" s="46" t="s">
        <v>2118</v>
      </c>
      <c r="O5" s="46" t="s">
        <v>253</v>
      </c>
      <c r="P5" s="46" t="s">
        <v>988</v>
      </c>
      <c r="Q5" s="46" t="s">
        <v>2316</v>
      </c>
      <c r="U5" s="146" t="s">
        <v>75</v>
      </c>
      <c r="V5" s="147"/>
    </row>
    <row r="6" spans="1:22" s="49" customFormat="1" ht="15.75" x14ac:dyDescent="0.25">
      <c r="A6" s="122" t="s">
        <v>76</v>
      </c>
      <c r="B6" s="46" t="s">
        <v>1766</v>
      </c>
      <c r="C6" s="46" t="s">
        <v>1765</v>
      </c>
      <c r="D6" s="47">
        <v>16258</v>
      </c>
      <c r="E6" s="46" t="s">
        <v>248</v>
      </c>
      <c r="F6" s="46" t="s">
        <v>261</v>
      </c>
      <c r="G6" s="46" t="s">
        <v>266</v>
      </c>
      <c r="H6" s="48" t="s">
        <v>1790</v>
      </c>
      <c r="I6" s="46" t="s">
        <v>297</v>
      </c>
      <c r="J6" s="48">
        <v>96319584</v>
      </c>
      <c r="K6" s="46" t="s">
        <v>882</v>
      </c>
      <c r="L6" s="46" t="s">
        <v>2400</v>
      </c>
      <c r="M6" s="46" t="s">
        <v>67</v>
      </c>
      <c r="N6" s="46" t="s">
        <v>565</v>
      </c>
      <c r="O6" s="46" t="s">
        <v>253</v>
      </c>
      <c r="P6" s="46" t="s">
        <v>988</v>
      </c>
      <c r="Q6" s="46" t="s">
        <v>1771</v>
      </c>
      <c r="U6" s="146"/>
      <c r="V6" s="147"/>
    </row>
    <row r="7" spans="1:22" s="14" customFormat="1" ht="15.75" x14ac:dyDescent="0.25">
      <c r="A7" s="122" t="s">
        <v>268</v>
      </c>
      <c r="B7" s="20" t="s">
        <v>875</v>
      </c>
      <c r="C7" s="20" t="s">
        <v>1559</v>
      </c>
      <c r="D7" s="28">
        <v>20275</v>
      </c>
      <c r="E7" s="20" t="s">
        <v>248</v>
      </c>
      <c r="F7" s="20" t="s">
        <v>867</v>
      </c>
      <c r="G7" s="20" t="s">
        <v>1558</v>
      </c>
      <c r="H7" s="31">
        <v>96204203</v>
      </c>
      <c r="I7" s="20"/>
      <c r="J7" s="31">
        <v>24801236</v>
      </c>
      <c r="K7" s="20"/>
      <c r="L7" s="46" t="s">
        <v>2406</v>
      </c>
      <c r="M7" s="22" t="s">
        <v>67</v>
      </c>
      <c r="N7" s="22" t="s">
        <v>1560</v>
      </c>
      <c r="O7" s="22" t="s">
        <v>253</v>
      </c>
      <c r="P7" s="22" t="s">
        <v>987</v>
      </c>
      <c r="Q7" s="20" t="s">
        <v>1562</v>
      </c>
      <c r="U7" s="148" t="s">
        <v>77</v>
      </c>
      <c r="V7" s="149"/>
    </row>
    <row r="8" spans="1:22" s="14" customFormat="1" ht="15.75" x14ac:dyDescent="0.25">
      <c r="A8" s="122" t="s">
        <v>270</v>
      </c>
      <c r="B8" s="20" t="s">
        <v>271</v>
      </c>
      <c r="C8" s="20" t="s">
        <v>548</v>
      </c>
      <c r="D8" s="28">
        <v>22311</v>
      </c>
      <c r="E8" s="20" t="s">
        <v>248</v>
      </c>
      <c r="F8" s="20" t="s">
        <v>272</v>
      </c>
      <c r="G8" s="20" t="s">
        <v>907</v>
      </c>
      <c r="H8" s="31">
        <v>95102843</v>
      </c>
      <c r="I8" s="20" t="s">
        <v>910</v>
      </c>
      <c r="J8" s="20"/>
      <c r="K8" s="20"/>
      <c r="L8" s="20" t="s">
        <v>2419</v>
      </c>
      <c r="M8" s="22" t="s">
        <v>67</v>
      </c>
      <c r="N8" s="22" t="s">
        <v>908</v>
      </c>
      <c r="O8" s="22" t="s">
        <v>253</v>
      </c>
      <c r="P8" s="22" t="s">
        <v>988</v>
      </c>
      <c r="Q8" s="20" t="s">
        <v>909</v>
      </c>
      <c r="U8" s="148" t="s">
        <v>78</v>
      </c>
      <c r="V8" s="149"/>
    </row>
    <row r="9" spans="1:22" ht="15.75" x14ac:dyDescent="0.25">
      <c r="A9" s="122" t="s">
        <v>273</v>
      </c>
      <c r="B9" s="16" t="s">
        <v>274</v>
      </c>
      <c r="C9" s="16" t="s">
        <v>549</v>
      </c>
      <c r="D9" s="24">
        <v>17246</v>
      </c>
      <c r="E9" s="16" t="s">
        <v>248</v>
      </c>
      <c r="F9" s="16" t="s">
        <v>275</v>
      </c>
      <c r="G9" s="16" t="s">
        <v>276</v>
      </c>
      <c r="H9" s="18">
        <v>28059812</v>
      </c>
      <c r="I9" s="16" t="s">
        <v>277</v>
      </c>
      <c r="J9" s="18">
        <v>97120605</v>
      </c>
      <c r="K9" s="23"/>
      <c r="L9" s="46" t="s">
        <v>2406</v>
      </c>
      <c r="M9" s="16" t="s">
        <v>67</v>
      </c>
      <c r="N9" s="16" t="s">
        <v>878</v>
      </c>
      <c r="O9" s="16" t="s">
        <v>253</v>
      </c>
      <c r="P9" s="16" t="s">
        <v>987</v>
      </c>
      <c r="Q9" s="25"/>
      <c r="U9" s="143" t="s">
        <v>79</v>
      </c>
      <c r="V9" s="144"/>
    </row>
    <row r="10" spans="1:22" s="14" customFormat="1" ht="15.75" x14ac:dyDescent="0.25">
      <c r="A10" s="122" t="s">
        <v>278</v>
      </c>
      <c r="B10" s="20" t="s">
        <v>913</v>
      </c>
      <c r="C10" s="20" t="s">
        <v>550</v>
      </c>
      <c r="D10" s="20"/>
      <c r="E10" s="20" t="s">
        <v>279</v>
      </c>
      <c r="F10" s="20" t="s">
        <v>279</v>
      </c>
      <c r="G10" s="20" t="s">
        <v>848</v>
      </c>
      <c r="H10" s="31">
        <v>27818495</v>
      </c>
      <c r="I10" s="20"/>
      <c r="J10" s="20"/>
      <c r="K10" s="20"/>
      <c r="L10" s="20" t="s">
        <v>2421</v>
      </c>
      <c r="M10" s="22" t="s">
        <v>67</v>
      </c>
      <c r="N10" s="22" t="s">
        <v>874</v>
      </c>
      <c r="O10" s="22" t="s">
        <v>253</v>
      </c>
      <c r="P10" s="22" t="s">
        <v>987</v>
      </c>
      <c r="Q10" s="20" t="s">
        <v>1146</v>
      </c>
      <c r="U10" s="148" t="s">
        <v>80</v>
      </c>
      <c r="V10" s="149"/>
    </row>
    <row r="11" spans="1:22" s="14" customFormat="1" ht="15.75" x14ac:dyDescent="0.25">
      <c r="A11" s="122" t="s">
        <v>280</v>
      </c>
      <c r="B11" s="20" t="s">
        <v>899</v>
      </c>
      <c r="C11" s="20" t="s">
        <v>551</v>
      </c>
      <c r="D11" s="20"/>
      <c r="E11" s="20" t="s">
        <v>248</v>
      </c>
      <c r="F11" s="20" t="s">
        <v>281</v>
      </c>
      <c r="G11" s="20" t="s">
        <v>868</v>
      </c>
      <c r="H11" s="31">
        <v>23784605</v>
      </c>
      <c r="I11" s="31">
        <v>97180282</v>
      </c>
      <c r="J11" s="31">
        <v>98684211</v>
      </c>
      <c r="K11" s="31">
        <v>99601080</v>
      </c>
      <c r="L11" s="20" t="s">
        <v>2412</v>
      </c>
      <c r="M11" s="20" t="s">
        <v>67</v>
      </c>
      <c r="N11" s="20" t="s">
        <v>566</v>
      </c>
      <c r="O11" s="20" t="s">
        <v>253</v>
      </c>
      <c r="P11" s="20" t="s">
        <v>987</v>
      </c>
      <c r="Q11" s="20" t="s">
        <v>2136</v>
      </c>
      <c r="U11" s="148" t="s">
        <v>81</v>
      </c>
      <c r="V11" s="149"/>
    </row>
    <row r="12" spans="1:22" s="49" customFormat="1" ht="15.75" x14ac:dyDescent="0.25">
      <c r="A12" s="122" t="s">
        <v>283</v>
      </c>
      <c r="B12" s="46" t="s">
        <v>284</v>
      </c>
      <c r="C12" s="46" t="s">
        <v>552</v>
      </c>
      <c r="D12" s="47">
        <v>19245</v>
      </c>
      <c r="E12" s="46" t="s">
        <v>248</v>
      </c>
      <c r="F12" s="46" t="s">
        <v>285</v>
      </c>
      <c r="G12" s="46" t="s">
        <v>2479</v>
      </c>
      <c r="H12" s="48">
        <v>52310951</v>
      </c>
      <c r="I12" s="46"/>
      <c r="J12" s="48">
        <v>54910037</v>
      </c>
      <c r="K12" s="46"/>
      <c r="L12" s="46" t="s">
        <v>2415</v>
      </c>
      <c r="M12" s="46" t="s">
        <v>67</v>
      </c>
      <c r="N12" s="46" t="s">
        <v>567</v>
      </c>
      <c r="O12" s="46" t="s">
        <v>253</v>
      </c>
      <c r="P12" s="46" t="s">
        <v>987</v>
      </c>
      <c r="Q12" s="46" t="s">
        <v>2480</v>
      </c>
      <c r="U12" s="146" t="s">
        <v>82</v>
      </c>
      <c r="V12" s="147"/>
    </row>
    <row r="13" spans="1:22" ht="15.75" x14ac:dyDescent="0.25">
      <c r="A13" s="123" t="s">
        <v>286</v>
      </c>
      <c r="B13" s="25" t="s">
        <v>287</v>
      </c>
      <c r="C13" s="25"/>
      <c r="D13" s="25"/>
      <c r="E13" s="25" t="s">
        <v>248</v>
      </c>
      <c r="F13" s="25" t="s">
        <v>285</v>
      </c>
      <c r="G13" s="25" t="s">
        <v>285</v>
      </c>
      <c r="H13" s="26">
        <v>53829696</v>
      </c>
      <c r="I13" s="25"/>
      <c r="J13" s="25"/>
      <c r="K13" s="25"/>
      <c r="L13" s="25" t="s">
        <v>984</v>
      </c>
      <c r="M13" s="25"/>
      <c r="N13" s="25"/>
      <c r="O13" s="25" t="s">
        <v>253</v>
      </c>
      <c r="P13" s="25" t="s">
        <v>989</v>
      </c>
      <c r="Q13" s="25" t="s">
        <v>717</v>
      </c>
      <c r="U13" s="143" t="s">
        <v>83</v>
      </c>
      <c r="V13" s="144"/>
    </row>
    <row r="14" spans="1:22" s="49" customFormat="1" ht="15.75" x14ac:dyDescent="0.25">
      <c r="A14" s="122" t="s">
        <v>289</v>
      </c>
      <c r="B14" s="46" t="s">
        <v>290</v>
      </c>
      <c r="C14" s="46" t="s">
        <v>1822</v>
      </c>
      <c r="D14" s="47">
        <v>21694</v>
      </c>
      <c r="E14" s="46" t="s">
        <v>291</v>
      </c>
      <c r="F14" s="46" t="s">
        <v>1823</v>
      </c>
      <c r="G14" s="46" t="s">
        <v>1824</v>
      </c>
      <c r="H14" s="48">
        <v>97006419</v>
      </c>
      <c r="I14" s="46"/>
      <c r="J14" s="48">
        <v>98291696</v>
      </c>
      <c r="K14" s="46"/>
      <c r="L14" s="46" t="s">
        <v>2400</v>
      </c>
      <c r="M14" s="46" t="s">
        <v>67</v>
      </c>
      <c r="N14" s="46" t="s">
        <v>1825</v>
      </c>
      <c r="O14" s="46" t="s">
        <v>253</v>
      </c>
      <c r="P14" s="46" t="s">
        <v>988</v>
      </c>
      <c r="Q14" s="46" t="s">
        <v>1827</v>
      </c>
      <c r="U14" s="146"/>
      <c r="V14" s="147"/>
    </row>
    <row r="15" spans="1:22" s="14" customFormat="1" ht="15.75" x14ac:dyDescent="0.25">
      <c r="A15" s="122" t="s">
        <v>293</v>
      </c>
      <c r="B15" s="20" t="s">
        <v>294</v>
      </c>
      <c r="C15" s="20" t="s">
        <v>553</v>
      </c>
      <c r="D15" s="20"/>
      <c r="E15" s="20" t="s">
        <v>248</v>
      </c>
      <c r="F15" s="20" t="s">
        <v>285</v>
      </c>
      <c r="G15" s="20" t="s">
        <v>285</v>
      </c>
      <c r="H15" s="31">
        <v>97225010</v>
      </c>
      <c r="I15" s="20"/>
      <c r="J15" s="31">
        <v>21085582</v>
      </c>
      <c r="K15" s="20"/>
      <c r="L15" s="46" t="s">
        <v>2406</v>
      </c>
      <c r="M15" s="22" t="s">
        <v>67</v>
      </c>
      <c r="N15" s="22" t="s">
        <v>568</v>
      </c>
      <c r="O15" s="22" t="s">
        <v>253</v>
      </c>
      <c r="P15" s="22" t="s">
        <v>987</v>
      </c>
      <c r="Q15" s="20" t="s">
        <v>903</v>
      </c>
      <c r="U15" s="148" t="s">
        <v>84</v>
      </c>
      <c r="V15" s="149"/>
    </row>
    <row r="16" spans="1:22" s="49" customFormat="1" ht="15.75" x14ac:dyDescent="0.25">
      <c r="A16" s="122" t="s">
        <v>295</v>
      </c>
      <c r="B16" s="46" t="s">
        <v>2061</v>
      </c>
      <c r="C16" s="46" t="s">
        <v>554</v>
      </c>
      <c r="D16" s="46" t="s">
        <v>1239</v>
      </c>
      <c r="E16" s="46" t="s">
        <v>248</v>
      </c>
      <c r="F16" s="46" t="s">
        <v>269</v>
      </c>
      <c r="G16" s="46" t="s">
        <v>2197</v>
      </c>
      <c r="H16" s="48">
        <v>98283873</v>
      </c>
      <c r="I16" s="46" t="s">
        <v>296</v>
      </c>
      <c r="J16" s="48">
        <v>52173700</v>
      </c>
      <c r="K16" s="46" t="s">
        <v>297</v>
      </c>
      <c r="L16" s="46" t="s">
        <v>2400</v>
      </c>
      <c r="M16" s="46" t="s">
        <v>67</v>
      </c>
      <c r="N16" s="46" t="s">
        <v>2062</v>
      </c>
      <c r="O16" s="46" t="s">
        <v>253</v>
      </c>
      <c r="P16" s="46" t="s">
        <v>987</v>
      </c>
      <c r="Q16" s="46" t="s">
        <v>2199</v>
      </c>
      <c r="U16" s="146" t="s">
        <v>85</v>
      </c>
      <c r="V16" s="147"/>
    </row>
    <row r="17" spans="1:21" ht="15.75" x14ac:dyDescent="0.25">
      <c r="A17" s="122" t="s">
        <v>298</v>
      </c>
      <c r="B17" s="16" t="s">
        <v>543</v>
      </c>
      <c r="C17" s="16" t="s">
        <v>544</v>
      </c>
      <c r="D17" s="20"/>
      <c r="E17" s="16" t="s">
        <v>248</v>
      </c>
      <c r="F17" s="16" t="s">
        <v>281</v>
      </c>
      <c r="G17" s="16" t="s">
        <v>555</v>
      </c>
      <c r="H17" s="18">
        <v>99570748</v>
      </c>
      <c r="I17" s="23"/>
      <c r="J17" s="17"/>
      <c r="K17" s="23"/>
      <c r="L17" s="46" t="s">
        <v>2406</v>
      </c>
      <c r="M17" s="16" t="s">
        <v>67</v>
      </c>
      <c r="N17" s="16" t="s">
        <v>569</v>
      </c>
      <c r="O17" s="16" t="s">
        <v>253</v>
      </c>
      <c r="P17" s="16" t="s">
        <v>987</v>
      </c>
      <c r="Q17" s="16" t="s">
        <v>267</v>
      </c>
      <c r="T17" s="143" t="s">
        <v>86</v>
      </c>
      <c r="U17" s="144"/>
    </row>
    <row r="18" spans="1:21" ht="15.75" x14ac:dyDescent="0.25">
      <c r="A18" s="122" t="s">
        <v>299</v>
      </c>
      <c r="B18" s="16" t="s">
        <v>557</v>
      </c>
      <c r="C18" s="16" t="s">
        <v>556</v>
      </c>
      <c r="D18" s="20"/>
      <c r="E18" s="16" t="s">
        <v>248</v>
      </c>
      <c r="F18" s="16" t="s">
        <v>558</v>
      </c>
      <c r="G18" s="16" t="s">
        <v>559</v>
      </c>
      <c r="H18" s="18">
        <v>27242652</v>
      </c>
      <c r="I18" s="23"/>
      <c r="J18" s="18">
        <v>73065424</v>
      </c>
      <c r="K18" s="23"/>
      <c r="L18" s="16" t="s">
        <v>2415</v>
      </c>
      <c r="M18" s="16" t="s">
        <v>67</v>
      </c>
      <c r="N18" s="16" t="s">
        <v>560</v>
      </c>
      <c r="O18" s="16" t="s">
        <v>253</v>
      </c>
      <c r="P18" s="16" t="s">
        <v>987</v>
      </c>
      <c r="Q18" s="16" t="s">
        <v>259</v>
      </c>
      <c r="T18" s="143" t="s">
        <v>87</v>
      </c>
      <c r="U18" s="144"/>
    </row>
    <row r="19" spans="1:21" s="49" customFormat="1" ht="15.75" x14ac:dyDescent="0.25">
      <c r="A19" s="122" t="s">
        <v>300</v>
      </c>
      <c r="B19" s="46" t="s">
        <v>916</v>
      </c>
      <c r="C19" s="46" t="s">
        <v>561</v>
      </c>
      <c r="D19" s="46" t="s">
        <v>2174</v>
      </c>
      <c r="E19" s="46" t="s">
        <v>248</v>
      </c>
      <c r="F19" s="46" t="s">
        <v>562</v>
      </c>
      <c r="G19" s="46" t="s">
        <v>594</v>
      </c>
      <c r="H19" s="48">
        <v>58799136</v>
      </c>
      <c r="I19" s="46" t="s">
        <v>297</v>
      </c>
      <c r="J19" s="48">
        <v>92294775</v>
      </c>
      <c r="K19" s="46"/>
      <c r="L19" s="46" t="s">
        <v>2406</v>
      </c>
      <c r="M19" s="46" t="s">
        <v>67</v>
      </c>
      <c r="N19" s="46" t="s">
        <v>570</v>
      </c>
      <c r="O19" s="46" t="s">
        <v>253</v>
      </c>
      <c r="P19" s="46" t="s">
        <v>987</v>
      </c>
      <c r="Q19" s="46" t="s">
        <v>2175</v>
      </c>
      <c r="T19" s="146"/>
      <c r="U19" s="147"/>
    </row>
    <row r="20" spans="1:21" ht="15.75" x14ac:dyDescent="0.25">
      <c r="A20" s="122" t="s">
        <v>301</v>
      </c>
      <c r="B20" s="20" t="s">
        <v>571</v>
      </c>
      <c r="C20" s="20" t="s">
        <v>572</v>
      </c>
      <c r="D20" s="28">
        <v>22625</v>
      </c>
      <c r="E20" s="20" t="s">
        <v>248</v>
      </c>
      <c r="F20" s="20" t="s">
        <v>573</v>
      </c>
      <c r="G20" s="20" t="s">
        <v>573</v>
      </c>
      <c r="H20" s="31">
        <v>97281642</v>
      </c>
      <c r="I20" s="20"/>
      <c r="J20" s="31">
        <v>98608528</v>
      </c>
      <c r="K20" s="20"/>
      <c r="L20" s="20" t="s">
        <v>2413</v>
      </c>
      <c r="M20" s="16" t="s">
        <v>67</v>
      </c>
      <c r="N20" s="16" t="s">
        <v>574</v>
      </c>
      <c r="O20" s="16" t="s">
        <v>253</v>
      </c>
      <c r="P20" s="16" t="s">
        <v>987</v>
      </c>
      <c r="Q20" s="20" t="s">
        <v>259</v>
      </c>
      <c r="T20" s="143" t="s">
        <v>88</v>
      </c>
      <c r="U20" s="144"/>
    </row>
    <row r="21" spans="1:21" s="14" customFormat="1" ht="15.75" x14ac:dyDescent="0.25">
      <c r="A21" s="122" t="s">
        <v>302</v>
      </c>
      <c r="B21" s="20" t="s">
        <v>897</v>
      </c>
      <c r="C21" s="20" t="s">
        <v>592</v>
      </c>
      <c r="D21" s="28">
        <v>20479</v>
      </c>
      <c r="E21" s="20" t="s">
        <v>279</v>
      </c>
      <c r="F21" s="20" t="s">
        <v>593</v>
      </c>
      <c r="G21" s="20" t="s">
        <v>619</v>
      </c>
      <c r="H21" s="31">
        <v>22297856</v>
      </c>
      <c r="I21" s="20"/>
      <c r="J21" s="31">
        <v>29306060</v>
      </c>
      <c r="K21" s="20"/>
      <c r="L21" s="20" t="s">
        <v>2421</v>
      </c>
      <c r="M21" s="22" t="s">
        <v>67</v>
      </c>
      <c r="N21" s="22" t="s">
        <v>898</v>
      </c>
      <c r="O21" s="22" t="s">
        <v>253</v>
      </c>
      <c r="P21" s="22" t="s">
        <v>987</v>
      </c>
      <c r="Q21" s="20" t="s">
        <v>2214</v>
      </c>
      <c r="T21" s="148" t="s">
        <v>89</v>
      </c>
      <c r="U21" s="149"/>
    </row>
    <row r="22" spans="1:21" s="49" customFormat="1" ht="15.75" x14ac:dyDescent="0.25">
      <c r="A22" s="122" t="s">
        <v>303</v>
      </c>
      <c r="B22" s="46" t="s">
        <v>575</v>
      </c>
      <c r="C22" s="46" t="s">
        <v>595</v>
      </c>
      <c r="D22" s="47">
        <v>22356</v>
      </c>
      <c r="E22" s="46" t="s">
        <v>248</v>
      </c>
      <c r="F22" s="46" t="s">
        <v>696</v>
      </c>
      <c r="G22" s="46" t="s">
        <v>596</v>
      </c>
      <c r="H22" s="48">
        <v>94026780</v>
      </c>
      <c r="I22" s="48" t="s">
        <v>1200</v>
      </c>
      <c r="J22" s="48" t="s">
        <v>1201</v>
      </c>
      <c r="K22" s="46"/>
      <c r="L22" s="46" t="s">
        <v>2406</v>
      </c>
      <c r="M22" s="46" t="s">
        <v>67</v>
      </c>
      <c r="N22" s="46" t="s">
        <v>1202</v>
      </c>
      <c r="O22" s="46" t="s">
        <v>253</v>
      </c>
      <c r="P22" s="46" t="s">
        <v>988</v>
      </c>
      <c r="Q22" s="46" t="s">
        <v>1203</v>
      </c>
      <c r="T22" s="146" t="s">
        <v>90</v>
      </c>
      <c r="U22" s="147"/>
    </row>
    <row r="23" spans="1:21" s="49" customFormat="1" ht="15.75" x14ac:dyDescent="0.25">
      <c r="A23" s="122" t="s">
        <v>304</v>
      </c>
      <c r="B23" s="46" t="s">
        <v>1588</v>
      </c>
      <c r="C23" s="46" t="s">
        <v>597</v>
      </c>
      <c r="D23" s="47">
        <v>16442</v>
      </c>
      <c r="E23" s="46" t="s">
        <v>248</v>
      </c>
      <c r="F23" s="46" t="s">
        <v>261</v>
      </c>
      <c r="G23" s="46" t="s">
        <v>1772</v>
      </c>
      <c r="H23" s="48">
        <v>24045800</v>
      </c>
      <c r="I23" s="46" t="s">
        <v>297</v>
      </c>
      <c r="J23" s="48">
        <v>95581737</v>
      </c>
      <c r="K23" s="46"/>
      <c r="L23" s="46" t="s">
        <v>2406</v>
      </c>
      <c r="M23" s="46" t="s">
        <v>67</v>
      </c>
      <c r="N23" s="46" t="s">
        <v>876</v>
      </c>
      <c r="O23" s="46" t="s">
        <v>253</v>
      </c>
      <c r="P23" s="46" t="s">
        <v>988</v>
      </c>
      <c r="Q23" s="46" t="s">
        <v>1773</v>
      </c>
      <c r="T23" s="146" t="s">
        <v>91</v>
      </c>
      <c r="U23" s="147"/>
    </row>
    <row r="24" spans="1:21" s="49" customFormat="1" ht="15.75" x14ac:dyDescent="0.25">
      <c r="A24" s="122" t="s">
        <v>305</v>
      </c>
      <c r="B24" s="46" t="s">
        <v>598</v>
      </c>
      <c r="C24" s="46" t="s">
        <v>599</v>
      </c>
      <c r="D24" s="47">
        <v>22742</v>
      </c>
      <c r="E24" s="46" t="s">
        <v>248</v>
      </c>
      <c r="F24" s="46" t="s">
        <v>600</v>
      </c>
      <c r="G24" s="46" t="s">
        <v>806</v>
      </c>
      <c r="H24" s="48">
        <v>95346403</v>
      </c>
      <c r="I24" s="46" t="s">
        <v>601</v>
      </c>
      <c r="J24" s="48">
        <v>21928406</v>
      </c>
      <c r="K24" s="46" t="s">
        <v>602</v>
      </c>
      <c r="L24" s="20" t="s">
        <v>2412</v>
      </c>
      <c r="M24" s="46" t="s">
        <v>67</v>
      </c>
      <c r="N24" s="46" t="s">
        <v>2144</v>
      </c>
      <c r="O24" s="46" t="s">
        <v>253</v>
      </c>
      <c r="P24" s="46" t="s">
        <v>988</v>
      </c>
      <c r="Q24" s="46" t="s">
        <v>2146</v>
      </c>
      <c r="T24" s="146" t="s">
        <v>92</v>
      </c>
      <c r="U24" s="147"/>
    </row>
    <row r="25" spans="1:21" s="14" customFormat="1" ht="15.75" x14ac:dyDescent="0.25">
      <c r="A25" s="122" t="s">
        <v>306</v>
      </c>
      <c r="B25" s="20" t="s">
        <v>914</v>
      </c>
      <c r="C25" s="20"/>
      <c r="D25" s="20"/>
      <c r="E25" s="20" t="s">
        <v>248</v>
      </c>
      <c r="F25" s="20" t="s">
        <v>603</v>
      </c>
      <c r="G25" s="20" t="s">
        <v>603</v>
      </c>
      <c r="H25" s="31">
        <v>99322259</v>
      </c>
      <c r="I25" s="20"/>
      <c r="J25" s="31"/>
      <c r="K25" s="20"/>
      <c r="L25" s="20" t="s">
        <v>2398</v>
      </c>
      <c r="M25" s="22" t="s">
        <v>67</v>
      </c>
      <c r="N25" s="22" t="s">
        <v>604</v>
      </c>
      <c r="O25" s="22" t="s">
        <v>253</v>
      </c>
      <c r="P25" s="22" t="s">
        <v>988</v>
      </c>
      <c r="Q25" s="20" t="s">
        <v>915</v>
      </c>
      <c r="T25" s="148"/>
      <c r="U25" s="149"/>
    </row>
    <row r="26" spans="1:21" ht="15.75" x14ac:dyDescent="0.25">
      <c r="A26" s="122" t="s">
        <v>307</v>
      </c>
      <c r="B26" s="16" t="s">
        <v>605</v>
      </c>
      <c r="C26" s="16" t="s">
        <v>606</v>
      </c>
      <c r="D26" s="20"/>
      <c r="E26" s="16" t="s">
        <v>248</v>
      </c>
      <c r="F26" s="16" t="s">
        <v>249</v>
      </c>
      <c r="G26" s="16" t="s">
        <v>607</v>
      </c>
      <c r="H26" s="18">
        <v>47020120</v>
      </c>
      <c r="I26" s="16" t="s">
        <v>608</v>
      </c>
      <c r="J26" s="18">
        <v>46275073</v>
      </c>
      <c r="K26" s="16" t="s">
        <v>297</v>
      </c>
      <c r="L26" s="46" t="s">
        <v>2406</v>
      </c>
      <c r="M26" s="16" t="s">
        <v>67</v>
      </c>
      <c r="N26" s="16" t="s">
        <v>609</v>
      </c>
      <c r="O26" s="16" t="s">
        <v>253</v>
      </c>
      <c r="P26" s="16" t="s">
        <v>987</v>
      </c>
      <c r="Q26" s="16" t="s">
        <v>259</v>
      </c>
      <c r="T26" s="143" t="s">
        <v>93</v>
      </c>
      <c r="U26" s="144"/>
    </row>
    <row r="27" spans="1:21" s="14" customFormat="1" ht="15.75" x14ac:dyDescent="0.25">
      <c r="A27" s="122" t="s">
        <v>308</v>
      </c>
      <c r="B27" s="20" t="s">
        <v>610</v>
      </c>
      <c r="C27" s="20" t="s">
        <v>611</v>
      </c>
      <c r="D27" s="28">
        <v>20456</v>
      </c>
      <c r="E27" s="20" t="s">
        <v>279</v>
      </c>
      <c r="F27" s="20" t="s">
        <v>279</v>
      </c>
      <c r="G27" s="20" t="s">
        <v>612</v>
      </c>
      <c r="H27" s="31">
        <v>25011589</v>
      </c>
      <c r="I27" s="20" t="s">
        <v>613</v>
      </c>
      <c r="J27" s="31">
        <v>96687972</v>
      </c>
      <c r="K27" s="20" t="s">
        <v>614</v>
      </c>
      <c r="L27" s="20" t="s">
        <v>2421</v>
      </c>
      <c r="M27" s="22" t="s">
        <v>67</v>
      </c>
      <c r="N27" s="22" t="s">
        <v>885</v>
      </c>
      <c r="O27" s="22" t="s">
        <v>253</v>
      </c>
      <c r="P27" s="22" t="s">
        <v>987</v>
      </c>
      <c r="Q27" s="20" t="s">
        <v>2492</v>
      </c>
      <c r="T27" s="148" t="s">
        <v>94</v>
      </c>
      <c r="U27" s="149"/>
    </row>
    <row r="28" spans="1:21" s="14" customFormat="1" ht="15.75" x14ac:dyDescent="0.25">
      <c r="A28" s="122" t="s">
        <v>309</v>
      </c>
      <c r="B28" s="20" t="s">
        <v>900</v>
      </c>
      <c r="C28" s="20" t="s">
        <v>615</v>
      </c>
      <c r="D28" s="20"/>
      <c r="E28" s="20" t="s">
        <v>248</v>
      </c>
      <c r="F28" s="20" t="s">
        <v>249</v>
      </c>
      <c r="G28" s="20" t="s">
        <v>616</v>
      </c>
      <c r="H28" s="31">
        <v>29427014</v>
      </c>
      <c r="I28" s="31">
        <v>98528448</v>
      </c>
      <c r="J28" s="31">
        <v>29176726</v>
      </c>
      <c r="K28" s="20"/>
      <c r="L28" s="46" t="s">
        <v>2406</v>
      </c>
      <c r="M28" s="22" t="s">
        <v>67</v>
      </c>
      <c r="N28" s="22" t="s">
        <v>901</v>
      </c>
      <c r="O28" s="22" t="s">
        <v>253</v>
      </c>
      <c r="P28" s="22" t="s">
        <v>987</v>
      </c>
      <c r="Q28" s="20" t="s">
        <v>902</v>
      </c>
      <c r="T28" s="148" t="s">
        <v>95</v>
      </c>
      <c r="U28" s="149"/>
    </row>
    <row r="29" spans="1:21" s="49" customFormat="1" ht="15.75" x14ac:dyDescent="0.25">
      <c r="A29" s="122" t="s">
        <v>310</v>
      </c>
      <c r="B29" s="46" t="s">
        <v>576</v>
      </c>
      <c r="C29" s="46" t="s">
        <v>617</v>
      </c>
      <c r="D29" s="47">
        <v>16464</v>
      </c>
      <c r="E29" s="46" t="s">
        <v>263</v>
      </c>
      <c r="F29" s="46" t="s">
        <v>618</v>
      </c>
      <c r="G29" s="46" t="s">
        <v>2191</v>
      </c>
      <c r="H29" s="48">
        <v>97999947</v>
      </c>
      <c r="I29" s="48">
        <v>53124208</v>
      </c>
      <c r="J29" s="48">
        <v>27824610</v>
      </c>
      <c r="K29" s="46"/>
      <c r="L29" s="46" t="s">
        <v>2418</v>
      </c>
      <c r="M29" s="46" t="s">
        <v>67</v>
      </c>
      <c r="N29" s="46" t="s">
        <v>2192</v>
      </c>
      <c r="O29" s="46" t="s">
        <v>253</v>
      </c>
      <c r="P29" s="46" t="s">
        <v>988</v>
      </c>
      <c r="Q29" s="46" t="s">
        <v>2193</v>
      </c>
      <c r="T29" s="146" t="s">
        <v>96</v>
      </c>
      <c r="U29" s="147"/>
    </row>
    <row r="30" spans="1:21" s="49" customFormat="1" ht="15.75" x14ac:dyDescent="0.25">
      <c r="A30" s="122" t="s">
        <v>311</v>
      </c>
      <c r="B30" s="46" t="s">
        <v>906</v>
      </c>
      <c r="C30" s="46" t="s">
        <v>1159</v>
      </c>
      <c r="D30" s="47">
        <v>16075</v>
      </c>
      <c r="E30" s="46" t="s">
        <v>248</v>
      </c>
      <c r="F30" s="46" t="s">
        <v>867</v>
      </c>
      <c r="G30" s="46" t="s">
        <v>1181</v>
      </c>
      <c r="H30" s="48">
        <v>96922955</v>
      </c>
      <c r="I30" s="46" t="s">
        <v>882</v>
      </c>
      <c r="J30" s="48">
        <v>93251211</v>
      </c>
      <c r="K30" s="46"/>
      <c r="L30" s="46" t="s">
        <v>2406</v>
      </c>
      <c r="M30" s="46" t="s">
        <v>67</v>
      </c>
      <c r="N30" s="46" t="s">
        <v>1182</v>
      </c>
      <c r="O30" s="46" t="s">
        <v>253</v>
      </c>
      <c r="P30" s="46" t="s">
        <v>988</v>
      </c>
      <c r="Q30" s="46" t="s">
        <v>1183</v>
      </c>
      <c r="T30" s="146"/>
      <c r="U30" s="147"/>
    </row>
    <row r="31" spans="1:21" s="14" customFormat="1" ht="15.75" x14ac:dyDescent="0.25">
      <c r="A31" s="122" t="s">
        <v>312</v>
      </c>
      <c r="B31" s="20" t="s">
        <v>620</v>
      </c>
      <c r="C31" s="20" t="s">
        <v>621</v>
      </c>
      <c r="D31" s="28">
        <v>21197</v>
      </c>
      <c r="E31" s="20" t="s">
        <v>248</v>
      </c>
      <c r="F31" s="20" t="s">
        <v>281</v>
      </c>
      <c r="G31" s="20" t="s">
        <v>622</v>
      </c>
      <c r="H31" s="31">
        <v>27087295</v>
      </c>
      <c r="I31" s="20" t="s">
        <v>623</v>
      </c>
      <c r="J31" s="20">
        <v>20389703</v>
      </c>
      <c r="K31" s="20" t="s">
        <v>624</v>
      </c>
      <c r="L31" s="46" t="s">
        <v>2400</v>
      </c>
      <c r="M31" s="22" t="s">
        <v>67</v>
      </c>
      <c r="N31" s="20" t="s">
        <v>911</v>
      </c>
      <c r="O31" s="20" t="s">
        <v>253</v>
      </c>
      <c r="P31" s="20" t="s">
        <v>987</v>
      </c>
      <c r="Q31" s="20" t="s">
        <v>888</v>
      </c>
      <c r="T31" s="148" t="s">
        <v>97</v>
      </c>
      <c r="U31" s="149"/>
    </row>
    <row r="32" spans="1:21" s="49" customFormat="1" ht="15.75" x14ac:dyDescent="0.25">
      <c r="A32" s="122" t="s">
        <v>313</v>
      </c>
      <c r="B32" s="46" t="s">
        <v>577</v>
      </c>
      <c r="C32" s="46" t="s">
        <v>657</v>
      </c>
      <c r="D32" s="47">
        <v>12539</v>
      </c>
      <c r="E32" s="46" t="s">
        <v>248</v>
      </c>
      <c r="F32" s="46" t="s">
        <v>269</v>
      </c>
      <c r="G32" s="46" t="s">
        <v>625</v>
      </c>
      <c r="H32" s="48">
        <v>54651222</v>
      </c>
      <c r="I32" s="46" t="s">
        <v>1572</v>
      </c>
      <c r="J32" s="48">
        <v>50706233</v>
      </c>
      <c r="K32" s="46" t="s">
        <v>928</v>
      </c>
      <c r="L32" s="46" t="s">
        <v>2409</v>
      </c>
      <c r="M32" s="46" t="s">
        <v>626</v>
      </c>
      <c r="N32" s="46"/>
      <c r="O32" s="46" t="s">
        <v>253</v>
      </c>
      <c r="P32" s="46" t="s">
        <v>988</v>
      </c>
      <c r="Q32" s="46" t="s">
        <v>1573</v>
      </c>
      <c r="T32" s="146" t="s">
        <v>98</v>
      </c>
      <c r="U32" s="147"/>
    </row>
    <row r="33" spans="1:21" s="14" customFormat="1" ht="15.75" x14ac:dyDescent="0.25">
      <c r="A33" s="122" t="s">
        <v>314</v>
      </c>
      <c r="B33" s="20" t="s">
        <v>912</v>
      </c>
      <c r="C33" s="20" t="s">
        <v>627</v>
      </c>
      <c r="D33" s="20"/>
      <c r="E33" s="20" t="s">
        <v>248</v>
      </c>
      <c r="F33" s="20" t="s">
        <v>261</v>
      </c>
      <c r="G33" s="20" t="s">
        <v>261</v>
      </c>
      <c r="H33" s="31">
        <v>95741900</v>
      </c>
      <c r="I33" s="20"/>
      <c r="J33" s="31">
        <v>28272450</v>
      </c>
      <c r="K33" s="20"/>
      <c r="L33" s="20" t="s">
        <v>2398</v>
      </c>
      <c r="M33" s="22" t="s">
        <v>67</v>
      </c>
      <c r="N33" s="22" t="s">
        <v>628</v>
      </c>
      <c r="O33" s="22" t="s">
        <v>253</v>
      </c>
      <c r="P33" s="22" t="s">
        <v>988</v>
      </c>
      <c r="Q33" s="20" t="s">
        <v>889</v>
      </c>
      <c r="T33" s="148" t="s">
        <v>99</v>
      </c>
      <c r="U33" s="149"/>
    </row>
    <row r="34" spans="1:21" s="49" customFormat="1" ht="15.75" x14ac:dyDescent="0.25">
      <c r="A34" s="122" t="s">
        <v>315</v>
      </c>
      <c r="B34" s="46" t="s">
        <v>629</v>
      </c>
      <c r="C34" s="46" t="s">
        <v>630</v>
      </c>
      <c r="D34" s="47">
        <v>20962</v>
      </c>
      <c r="E34" s="46" t="s">
        <v>248</v>
      </c>
      <c r="F34" s="46" t="s">
        <v>600</v>
      </c>
      <c r="G34" s="46" t="s">
        <v>600</v>
      </c>
      <c r="H34" s="48">
        <v>48119558</v>
      </c>
      <c r="I34" s="46"/>
      <c r="J34" s="48">
        <v>23510716</v>
      </c>
      <c r="K34" s="46"/>
      <c r="L34" s="20" t="s">
        <v>2402</v>
      </c>
      <c r="M34" s="46" t="s">
        <v>67</v>
      </c>
      <c r="N34" s="46" t="s">
        <v>2170</v>
      </c>
      <c r="O34" s="46" t="s">
        <v>253</v>
      </c>
      <c r="P34" s="46" t="s">
        <v>987</v>
      </c>
      <c r="Q34" s="46" t="s">
        <v>2171</v>
      </c>
      <c r="T34" s="146" t="s">
        <v>100</v>
      </c>
      <c r="U34" s="147"/>
    </row>
    <row r="35" spans="1:21" s="49" customFormat="1" ht="15.75" x14ac:dyDescent="0.25">
      <c r="A35" s="122" t="s">
        <v>316</v>
      </c>
      <c r="B35" s="46" t="s">
        <v>634</v>
      </c>
      <c r="C35" s="46" t="s">
        <v>631</v>
      </c>
      <c r="D35" s="47">
        <v>20719</v>
      </c>
      <c r="E35" s="46" t="s">
        <v>248</v>
      </c>
      <c r="F35" s="46" t="s">
        <v>562</v>
      </c>
      <c r="G35" s="46" t="s">
        <v>632</v>
      </c>
      <c r="H35" s="70">
        <v>20945327</v>
      </c>
      <c r="I35" s="92" t="s">
        <v>643</v>
      </c>
      <c r="J35" s="48">
        <v>97457981</v>
      </c>
      <c r="K35" s="46" t="s">
        <v>633</v>
      </c>
      <c r="L35" s="16" t="s">
        <v>2404</v>
      </c>
      <c r="M35" s="46" t="s">
        <v>67</v>
      </c>
      <c r="N35" s="46" t="s">
        <v>2151</v>
      </c>
      <c r="O35" s="46" t="s">
        <v>253</v>
      </c>
      <c r="P35" s="46" t="s">
        <v>987</v>
      </c>
      <c r="Q35" s="46" t="s">
        <v>2153</v>
      </c>
      <c r="T35" s="146" t="s">
        <v>101</v>
      </c>
      <c r="U35" s="147"/>
    </row>
    <row r="36" spans="1:21" s="14" customFormat="1" ht="15.75" x14ac:dyDescent="0.25">
      <c r="A36" s="122" t="s">
        <v>317</v>
      </c>
      <c r="B36" s="20" t="s">
        <v>869</v>
      </c>
      <c r="C36" s="20" t="s">
        <v>635</v>
      </c>
      <c r="D36" s="28">
        <v>13918</v>
      </c>
      <c r="E36" s="20" t="s">
        <v>248</v>
      </c>
      <c r="F36" s="20" t="s">
        <v>249</v>
      </c>
      <c r="G36" s="20" t="s">
        <v>636</v>
      </c>
      <c r="H36" s="31">
        <v>98820801</v>
      </c>
      <c r="I36" s="20" t="s">
        <v>637</v>
      </c>
      <c r="J36" s="31">
        <v>94910575</v>
      </c>
      <c r="K36" s="20" t="s">
        <v>624</v>
      </c>
      <c r="L36" s="20" t="s">
        <v>2408</v>
      </c>
      <c r="M36" s="22" t="s">
        <v>67</v>
      </c>
      <c r="N36" s="22" t="s">
        <v>638</v>
      </c>
      <c r="O36" s="22" t="s">
        <v>253</v>
      </c>
      <c r="P36" s="22" t="s">
        <v>987</v>
      </c>
      <c r="Q36" s="20" t="s">
        <v>884</v>
      </c>
    </row>
    <row r="37" spans="1:21" ht="15.75" x14ac:dyDescent="0.25">
      <c r="A37" s="124" t="s">
        <v>318</v>
      </c>
      <c r="B37" s="125" t="s">
        <v>639</v>
      </c>
      <c r="C37" s="16" t="s">
        <v>640</v>
      </c>
      <c r="D37" s="20"/>
      <c r="E37" s="16" t="s">
        <v>291</v>
      </c>
      <c r="F37" s="16" t="s">
        <v>641</v>
      </c>
      <c r="G37" s="16" t="s">
        <v>641</v>
      </c>
      <c r="H37" s="18">
        <v>29042888</v>
      </c>
      <c r="I37" s="23"/>
      <c r="J37" s="17"/>
      <c r="K37" s="23"/>
      <c r="L37" s="16" t="s">
        <v>2422</v>
      </c>
      <c r="M37" s="16" t="s">
        <v>67</v>
      </c>
      <c r="N37" s="16" t="s">
        <v>642</v>
      </c>
      <c r="O37" s="29" t="s">
        <v>671</v>
      </c>
      <c r="P37" s="20" t="s">
        <v>988</v>
      </c>
      <c r="Q37" s="20" t="s">
        <v>687</v>
      </c>
    </row>
    <row r="38" spans="1:21" s="49" customFormat="1" ht="15.75" x14ac:dyDescent="0.25">
      <c r="A38" s="122" t="s">
        <v>319</v>
      </c>
      <c r="B38" s="46" t="s">
        <v>578</v>
      </c>
      <c r="C38" s="46" t="s">
        <v>644</v>
      </c>
      <c r="D38" s="47">
        <v>31889</v>
      </c>
      <c r="E38" s="46" t="s">
        <v>248</v>
      </c>
      <c r="F38" s="46" t="s">
        <v>830</v>
      </c>
      <c r="G38" s="46" t="s">
        <v>2387</v>
      </c>
      <c r="H38" s="48">
        <v>92398304</v>
      </c>
      <c r="I38" s="46" t="s">
        <v>2388</v>
      </c>
      <c r="J38" s="48">
        <v>55206195</v>
      </c>
      <c r="K38" s="46"/>
      <c r="L38" s="46" t="s">
        <v>2406</v>
      </c>
      <c r="M38" s="46" t="s">
        <v>626</v>
      </c>
      <c r="N38" s="46" t="s">
        <v>645</v>
      </c>
      <c r="O38" s="46" t="s">
        <v>253</v>
      </c>
      <c r="P38" s="46" t="s">
        <v>988</v>
      </c>
      <c r="Q38" s="46" t="s">
        <v>2389</v>
      </c>
    </row>
    <row r="39" spans="1:21" ht="15.75" x14ac:dyDescent="0.25">
      <c r="A39" s="126" t="s">
        <v>320</v>
      </c>
      <c r="B39" s="125" t="s">
        <v>579</v>
      </c>
      <c r="C39" s="16" t="s">
        <v>646</v>
      </c>
      <c r="D39" s="24">
        <v>22420</v>
      </c>
      <c r="E39" s="16" t="s">
        <v>248</v>
      </c>
      <c r="F39" s="16" t="s">
        <v>647</v>
      </c>
      <c r="G39" s="16" t="s">
        <v>648</v>
      </c>
      <c r="H39" s="18">
        <v>97339611</v>
      </c>
      <c r="I39" s="23"/>
      <c r="J39" s="18">
        <v>96765028</v>
      </c>
      <c r="K39" s="23"/>
      <c r="L39" s="46" t="s">
        <v>2406</v>
      </c>
      <c r="M39" s="16" t="s">
        <v>67</v>
      </c>
      <c r="N39" s="16" t="s">
        <v>649</v>
      </c>
      <c r="O39" s="29" t="s">
        <v>671</v>
      </c>
      <c r="P39" s="16" t="s">
        <v>987</v>
      </c>
      <c r="Q39" s="16" t="s">
        <v>1105</v>
      </c>
    </row>
    <row r="40" spans="1:21" s="49" customFormat="1" ht="15.75" x14ac:dyDescent="0.25">
      <c r="A40" s="122" t="s">
        <v>321</v>
      </c>
      <c r="B40" s="46" t="s">
        <v>580</v>
      </c>
      <c r="C40" s="46" t="s">
        <v>650</v>
      </c>
      <c r="D40" s="47">
        <v>16647</v>
      </c>
      <c r="E40" s="46" t="s">
        <v>248</v>
      </c>
      <c r="F40" s="46" t="s">
        <v>867</v>
      </c>
      <c r="G40" s="46" t="s">
        <v>1563</v>
      </c>
      <c r="H40" s="48" t="s">
        <v>1564</v>
      </c>
      <c r="I40" s="46"/>
      <c r="J40" s="48">
        <v>54416999</v>
      </c>
      <c r="K40" s="46" t="s">
        <v>297</v>
      </c>
      <c r="L40" s="46" t="s">
        <v>2406</v>
      </c>
      <c r="M40" s="46" t="s">
        <v>67</v>
      </c>
      <c r="N40" s="46" t="s">
        <v>1565</v>
      </c>
      <c r="O40" s="46" t="s">
        <v>253</v>
      </c>
      <c r="P40" s="46" t="s">
        <v>987</v>
      </c>
      <c r="Q40" s="46" t="s">
        <v>1571</v>
      </c>
    </row>
    <row r="41" spans="1:21" ht="15.75" x14ac:dyDescent="0.25">
      <c r="A41" s="122" t="s">
        <v>322</v>
      </c>
      <c r="B41" s="16" t="s">
        <v>581</v>
      </c>
      <c r="C41" s="20"/>
      <c r="D41" s="20"/>
      <c r="E41" s="16" t="s">
        <v>248</v>
      </c>
      <c r="F41" s="16" t="s">
        <v>261</v>
      </c>
      <c r="G41" s="16" t="s">
        <v>261</v>
      </c>
      <c r="H41" s="18">
        <v>99618719</v>
      </c>
      <c r="I41" s="23"/>
      <c r="J41" s="17"/>
      <c r="K41" s="23"/>
      <c r="L41" s="20" t="s">
        <v>2412</v>
      </c>
      <c r="M41" s="16" t="s">
        <v>67</v>
      </c>
      <c r="N41" s="16" t="s">
        <v>652</v>
      </c>
      <c r="O41" s="16" t="s">
        <v>253</v>
      </c>
      <c r="P41" s="16" t="s">
        <v>988</v>
      </c>
      <c r="Q41" s="16" t="s">
        <v>855</v>
      </c>
    </row>
    <row r="42" spans="1:21" s="14" customFormat="1" ht="15.75" x14ac:dyDescent="0.25">
      <c r="A42" s="122" t="s">
        <v>323</v>
      </c>
      <c r="B42" s="20" t="s">
        <v>582</v>
      </c>
      <c r="C42" s="20" t="s">
        <v>653</v>
      </c>
      <c r="D42" s="28">
        <v>29221</v>
      </c>
      <c r="E42" s="20" t="s">
        <v>248</v>
      </c>
      <c r="F42" s="20" t="s">
        <v>285</v>
      </c>
      <c r="G42" s="20" t="s">
        <v>285</v>
      </c>
      <c r="H42" s="31">
        <v>98297569</v>
      </c>
      <c r="I42" s="20"/>
      <c r="J42" s="20"/>
      <c r="K42" s="20"/>
      <c r="L42" s="16" t="s">
        <v>2415</v>
      </c>
      <c r="M42" s="71" t="s">
        <v>67</v>
      </c>
      <c r="N42" s="71" t="s">
        <v>654</v>
      </c>
      <c r="O42" s="71" t="s">
        <v>253</v>
      </c>
      <c r="P42" s="71" t="s">
        <v>987</v>
      </c>
      <c r="Q42" s="20" t="s">
        <v>890</v>
      </c>
    </row>
    <row r="43" spans="1:21" ht="15.75" x14ac:dyDescent="0.25">
      <c r="A43" s="122" t="s">
        <v>324</v>
      </c>
      <c r="B43" s="16" t="s">
        <v>1854</v>
      </c>
      <c r="C43" s="16" t="s">
        <v>655</v>
      </c>
      <c r="D43" s="20"/>
      <c r="E43" s="16" t="s">
        <v>248</v>
      </c>
      <c r="F43" s="16" t="s">
        <v>603</v>
      </c>
      <c r="G43" s="16" t="s">
        <v>603</v>
      </c>
      <c r="H43" s="18">
        <v>54880357</v>
      </c>
      <c r="I43" s="18">
        <v>96762348</v>
      </c>
      <c r="J43" s="31">
        <v>92847799</v>
      </c>
      <c r="K43" s="31">
        <v>21115772</v>
      </c>
      <c r="L43" s="16" t="s">
        <v>2416</v>
      </c>
      <c r="M43" s="16" t="s">
        <v>67</v>
      </c>
      <c r="N43" s="16" t="s">
        <v>656</v>
      </c>
      <c r="O43" s="16" t="s">
        <v>253</v>
      </c>
      <c r="P43" s="16" t="s">
        <v>988</v>
      </c>
      <c r="Q43" s="16" t="s">
        <v>282</v>
      </c>
    </row>
    <row r="44" spans="1:21" ht="15.75" x14ac:dyDescent="0.25">
      <c r="A44" s="122" t="s">
        <v>325</v>
      </c>
      <c r="B44" s="16" t="s">
        <v>1628</v>
      </c>
      <c r="C44" s="16" t="s">
        <v>658</v>
      </c>
      <c r="D44" s="24">
        <v>15827</v>
      </c>
      <c r="E44" s="16" t="s">
        <v>870</v>
      </c>
      <c r="F44" s="16" t="s">
        <v>659</v>
      </c>
      <c r="G44" s="16" t="s">
        <v>659</v>
      </c>
      <c r="H44" s="18">
        <v>20782421</v>
      </c>
      <c r="I44" s="23"/>
      <c r="J44" s="18">
        <v>50375005</v>
      </c>
      <c r="K44" s="23"/>
      <c r="L44" s="16" t="s">
        <v>2417</v>
      </c>
      <c r="M44" s="16" t="s">
        <v>67</v>
      </c>
      <c r="N44" s="16" t="s">
        <v>922</v>
      </c>
      <c r="O44" s="16" t="s">
        <v>253</v>
      </c>
      <c r="P44" s="16" t="s">
        <v>921</v>
      </c>
      <c r="Q44" s="16" t="s">
        <v>1759</v>
      </c>
    </row>
    <row r="45" spans="1:21" ht="15.75" x14ac:dyDescent="0.25">
      <c r="A45" s="122" t="s">
        <v>326</v>
      </c>
      <c r="B45" s="16" t="s">
        <v>660</v>
      </c>
      <c r="C45" s="16" t="s">
        <v>661</v>
      </c>
      <c r="D45" s="24">
        <v>19832</v>
      </c>
      <c r="E45" s="16" t="s">
        <v>870</v>
      </c>
      <c r="F45" s="16" t="s">
        <v>659</v>
      </c>
      <c r="G45" s="16" t="s">
        <v>659</v>
      </c>
      <c r="H45" s="18">
        <v>52428102</v>
      </c>
      <c r="I45" s="23" t="s">
        <v>1156</v>
      </c>
      <c r="J45" s="18">
        <v>52139520</v>
      </c>
      <c r="K45" s="23" t="s">
        <v>1156</v>
      </c>
      <c r="L45" s="16" t="s">
        <v>2417</v>
      </c>
      <c r="M45" s="16" t="s">
        <v>67</v>
      </c>
      <c r="N45" s="16" t="s">
        <v>923</v>
      </c>
      <c r="O45" s="16" t="s">
        <v>253</v>
      </c>
      <c r="P45" s="16" t="s">
        <v>921</v>
      </c>
      <c r="Q45" s="16"/>
    </row>
    <row r="46" spans="1:21" ht="15.75" x14ac:dyDescent="0.25">
      <c r="A46" s="122" t="s">
        <v>327</v>
      </c>
      <c r="B46" s="16" t="s">
        <v>583</v>
      </c>
      <c r="C46" s="16" t="s">
        <v>662</v>
      </c>
      <c r="D46" s="24">
        <v>21468</v>
      </c>
      <c r="E46" s="16" t="s">
        <v>870</v>
      </c>
      <c r="F46" s="16" t="s">
        <v>659</v>
      </c>
      <c r="G46" s="16" t="s">
        <v>659</v>
      </c>
      <c r="H46" s="18">
        <v>50409819</v>
      </c>
      <c r="I46" s="23"/>
      <c r="J46" s="17"/>
      <c r="K46" s="23"/>
      <c r="L46" s="16" t="s">
        <v>2417</v>
      </c>
      <c r="M46" s="16" t="s">
        <v>67</v>
      </c>
      <c r="N46" s="16" t="s">
        <v>663</v>
      </c>
      <c r="O46" s="29" t="s">
        <v>671</v>
      </c>
      <c r="P46" s="16" t="s">
        <v>921</v>
      </c>
      <c r="Q46" s="16" t="s">
        <v>986</v>
      </c>
    </row>
    <row r="47" spans="1:21" s="49" customFormat="1" ht="15.75" x14ac:dyDescent="0.25">
      <c r="A47" s="122" t="s">
        <v>328</v>
      </c>
      <c r="B47" s="46" t="s">
        <v>664</v>
      </c>
      <c r="C47" s="46" t="s">
        <v>665</v>
      </c>
      <c r="D47" s="47">
        <v>19068</v>
      </c>
      <c r="E47" s="46" t="s">
        <v>291</v>
      </c>
      <c r="F47" s="46" t="s">
        <v>667</v>
      </c>
      <c r="G47" s="46" t="s">
        <v>666</v>
      </c>
      <c r="H47" s="70">
        <v>99969405</v>
      </c>
      <c r="I47" s="48">
        <v>20867218</v>
      </c>
      <c r="J47" s="48">
        <v>22133373</v>
      </c>
      <c r="K47" s="46"/>
      <c r="L47" s="16" t="s">
        <v>2422</v>
      </c>
      <c r="M47" s="46" t="s">
        <v>67</v>
      </c>
      <c r="N47" s="46" t="s">
        <v>2127</v>
      </c>
      <c r="O47" s="46" t="s">
        <v>253</v>
      </c>
      <c r="P47" s="46" t="s">
        <v>988</v>
      </c>
      <c r="Q47" s="46" t="s">
        <v>2130</v>
      </c>
    </row>
    <row r="48" spans="1:21" s="14" customFormat="1" ht="15.75" x14ac:dyDescent="0.25">
      <c r="A48" s="122" t="s">
        <v>329</v>
      </c>
      <c r="B48" s="20" t="s">
        <v>668</v>
      </c>
      <c r="C48" s="20" t="s">
        <v>669</v>
      </c>
      <c r="D48" s="28">
        <v>22759</v>
      </c>
      <c r="E48" s="20" t="s">
        <v>248</v>
      </c>
      <c r="F48" s="20" t="s">
        <v>248</v>
      </c>
      <c r="G48" s="20" t="s">
        <v>248</v>
      </c>
      <c r="H48" s="31">
        <v>50469103</v>
      </c>
      <c r="I48" s="20"/>
      <c r="J48" s="31">
        <v>96120112</v>
      </c>
      <c r="K48" s="20"/>
      <c r="L48" s="46" t="s">
        <v>2406</v>
      </c>
      <c r="M48" s="71" t="s">
        <v>67</v>
      </c>
      <c r="N48" s="71" t="s">
        <v>670</v>
      </c>
      <c r="O48" s="71" t="s">
        <v>253</v>
      </c>
      <c r="P48" s="71" t="s">
        <v>988</v>
      </c>
      <c r="Q48" s="20" t="s">
        <v>888</v>
      </c>
    </row>
    <row r="49" spans="1:17" s="14" customFormat="1" ht="15.75" x14ac:dyDescent="0.25">
      <c r="A49" s="122" t="s">
        <v>330</v>
      </c>
      <c r="B49" s="20" t="s">
        <v>904</v>
      </c>
      <c r="C49" s="20" t="s">
        <v>672</v>
      </c>
      <c r="D49" s="20"/>
      <c r="E49" s="20" t="s">
        <v>248</v>
      </c>
      <c r="F49" s="20" t="s">
        <v>285</v>
      </c>
      <c r="G49" s="20" t="s">
        <v>285</v>
      </c>
      <c r="H49" s="31">
        <v>95042138</v>
      </c>
      <c r="I49" s="20"/>
      <c r="J49" s="31">
        <v>21800287</v>
      </c>
      <c r="K49" s="20"/>
      <c r="L49" s="16" t="s">
        <v>2415</v>
      </c>
      <c r="M49" s="71" t="s">
        <v>67</v>
      </c>
      <c r="N49" s="71" t="s">
        <v>673</v>
      </c>
      <c r="O49" s="71" t="s">
        <v>253</v>
      </c>
      <c r="P49" s="71" t="s">
        <v>987</v>
      </c>
      <c r="Q49" s="20" t="s">
        <v>905</v>
      </c>
    </row>
    <row r="50" spans="1:17" s="49" customFormat="1" ht="15.75" x14ac:dyDescent="0.25">
      <c r="A50" s="122" t="s">
        <v>331</v>
      </c>
      <c r="B50" s="46" t="s">
        <v>674</v>
      </c>
      <c r="C50" s="46" t="s">
        <v>1756</v>
      </c>
      <c r="D50" s="47">
        <v>20002</v>
      </c>
      <c r="E50" s="46" t="s">
        <v>248</v>
      </c>
      <c r="F50" s="46" t="s">
        <v>675</v>
      </c>
      <c r="G50" s="46" t="s">
        <v>675</v>
      </c>
      <c r="H50" s="70" t="s">
        <v>1757</v>
      </c>
      <c r="I50" s="48">
        <v>53674238</v>
      </c>
      <c r="J50" s="48">
        <v>50023172</v>
      </c>
      <c r="K50" s="46" t="s">
        <v>676</v>
      </c>
      <c r="L50" s="20" t="s">
        <v>2419</v>
      </c>
      <c r="M50" s="46" t="s">
        <v>67</v>
      </c>
      <c r="N50" s="46" t="s">
        <v>1758</v>
      </c>
      <c r="O50" s="46" t="s">
        <v>253</v>
      </c>
      <c r="P50" s="46" t="s">
        <v>987</v>
      </c>
      <c r="Q50" s="46" t="s">
        <v>1760</v>
      </c>
    </row>
    <row r="51" spans="1:17" s="49" customFormat="1" ht="15.75" x14ac:dyDescent="0.25">
      <c r="A51" s="122" t="s">
        <v>332</v>
      </c>
      <c r="B51" s="46" t="s">
        <v>584</v>
      </c>
      <c r="C51" s="46" t="s">
        <v>677</v>
      </c>
      <c r="D51" s="47">
        <v>22669</v>
      </c>
      <c r="E51" s="46" t="s">
        <v>248</v>
      </c>
      <c r="F51" s="46" t="s">
        <v>678</v>
      </c>
      <c r="G51" s="46" t="s">
        <v>1188</v>
      </c>
      <c r="H51" s="48">
        <v>56129207</v>
      </c>
      <c r="I51" s="127" t="s">
        <v>297</v>
      </c>
      <c r="J51" s="48" t="s">
        <v>1189</v>
      </c>
      <c r="K51" s="48">
        <v>95988399</v>
      </c>
      <c r="L51" s="46" t="s">
        <v>2399</v>
      </c>
      <c r="M51" s="46" t="s">
        <v>67</v>
      </c>
      <c r="N51" s="46" t="s">
        <v>1190</v>
      </c>
      <c r="O51" s="46" t="s">
        <v>253</v>
      </c>
      <c r="P51" s="46" t="s">
        <v>988</v>
      </c>
      <c r="Q51" s="46" t="s">
        <v>1896</v>
      </c>
    </row>
    <row r="52" spans="1:17" s="49" customFormat="1" ht="15.75" x14ac:dyDescent="0.25">
      <c r="A52" s="122" t="s">
        <v>333</v>
      </c>
      <c r="B52" s="46" t="s">
        <v>886</v>
      </c>
      <c r="C52" s="46" t="s">
        <v>679</v>
      </c>
      <c r="D52" s="47">
        <v>13485</v>
      </c>
      <c r="E52" s="46" t="s">
        <v>248</v>
      </c>
      <c r="F52" s="46" t="s">
        <v>675</v>
      </c>
      <c r="G52" s="46" t="s">
        <v>675</v>
      </c>
      <c r="H52" s="48">
        <v>97226436</v>
      </c>
      <c r="I52" s="46" t="s">
        <v>883</v>
      </c>
      <c r="J52" s="72">
        <v>27097391</v>
      </c>
      <c r="K52" s="46" t="s">
        <v>1880</v>
      </c>
      <c r="L52" s="20" t="s">
        <v>2419</v>
      </c>
      <c r="M52" s="46" t="s">
        <v>67</v>
      </c>
      <c r="N52" s="46" t="s">
        <v>887</v>
      </c>
      <c r="O52" s="46" t="s">
        <v>253</v>
      </c>
      <c r="P52" s="46" t="s">
        <v>987</v>
      </c>
      <c r="Q52" s="46" t="s">
        <v>1551</v>
      </c>
    </row>
    <row r="53" spans="1:17" s="14" customFormat="1" ht="15.75" x14ac:dyDescent="0.25">
      <c r="A53" s="122" t="s">
        <v>334</v>
      </c>
      <c r="B53" s="20" t="s">
        <v>585</v>
      </c>
      <c r="C53" s="20" t="s">
        <v>680</v>
      </c>
      <c r="D53" s="28">
        <v>16477</v>
      </c>
      <c r="E53" s="20" t="s">
        <v>248</v>
      </c>
      <c r="F53" s="20" t="s">
        <v>285</v>
      </c>
      <c r="G53" s="20" t="s">
        <v>285</v>
      </c>
      <c r="H53" s="31">
        <v>94172271</v>
      </c>
      <c r="I53" s="20"/>
      <c r="J53" s="31">
        <v>96451310</v>
      </c>
      <c r="K53" s="20"/>
      <c r="L53" s="16" t="s">
        <v>2416</v>
      </c>
      <c r="M53" s="71" t="s">
        <v>67</v>
      </c>
      <c r="N53" s="71" t="s">
        <v>681</v>
      </c>
      <c r="O53" s="71" t="s">
        <v>253</v>
      </c>
      <c r="P53" s="71" t="s">
        <v>987</v>
      </c>
      <c r="Q53" s="20" t="s">
        <v>888</v>
      </c>
    </row>
    <row r="54" spans="1:17" s="49" customFormat="1" ht="15.75" x14ac:dyDescent="0.25">
      <c r="A54" s="122" t="s">
        <v>335</v>
      </c>
      <c r="B54" s="46" t="s">
        <v>586</v>
      </c>
      <c r="C54" s="46" t="s">
        <v>1843</v>
      </c>
      <c r="D54" s="47">
        <v>17248</v>
      </c>
      <c r="E54" s="46" t="s">
        <v>291</v>
      </c>
      <c r="F54" s="46" t="s">
        <v>641</v>
      </c>
      <c r="G54" s="46" t="s">
        <v>641</v>
      </c>
      <c r="H54" s="48" t="s">
        <v>1848</v>
      </c>
      <c r="I54" s="48">
        <v>52551280</v>
      </c>
      <c r="J54" s="48">
        <v>27413288</v>
      </c>
      <c r="K54" s="46">
        <v>98565879</v>
      </c>
      <c r="L54" s="16" t="s">
        <v>2422</v>
      </c>
      <c r="M54" s="46" t="s">
        <v>67</v>
      </c>
      <c r="N54" s="46" t="s">
        <v>682</v>
      </c>
      <c r="O54" s="46" t="s">
        <v>253</v>
      </c>
      <c r="P54" s="46" t="s">
        <v>988</v>
      </c>
      <c r="Q54" s="46" t="s">
        <v>1844</v>
      </c>
    </row>
    <row r="55" spans="1:17" ht="15.75" x14ac:dyDescent="0.25">
      <c r="A55" s="122" t="s">
        <v>336</v>
      </c>
      <c r="B55" s="125" t="s">
        <v>683</v>
      </c>
      <c r="C55" s="16" t="s">
        <v>684</v>
      </c>
      <c r="D55" s="24">
        <v>20279</v>
      </c>
      <c r="E55" s="16" t="s">
        <v>685</v>
      </c>
      <c r="F55" s="20" t="s">
        <v>857</v>
      </c>
      <c r="G55" s="16" t="s">
        <v>686</v>
      </c>
      <c r="H55" s="18">
        <v>99095751</v>
      </c>
      <c r="I55" s="23"/>
      <c r="J55" s="18">
        <v>28777777</v>
      </c>
      <c r="K55" s="23"/>
      <c r="L55" s="46" t="s">
        <v>2399</v>
      </c>
      <c r="M55" s="16" t="s">
        <v>67</v>
      </c>
      <c r="N55" s="20"/>
      <c r="O55" s="29" t="s">
        <v>671</v>
      </c>
      <c r="P55" s="20" t="s">
        <v>987</v>
      </c>
      <c r="Q55" s="16" t="s">
        <v>1873</v>
      </c>
    </row>
    <row r="56" spans="1:17" s="49" customFormat="1" ht="15.75" x14ac:dyDescent="0.25">
      <c r="A56" s="122" t="s">
        <v>337</v>
      </c>
      <c r="B56" s="46" t="s">
        <v>587</v>
      </c>
      <c r="C56" s="46" t="s">
        <v>2167</v>
      </c>
      <c r="D56" s="47">
        <v>21010</v>
      </c>
      <c r="E56" s="46" t="s">
        <v>248</v>
      </c>
      <c r="F56" s="46" t="s">
        <v>248</v>
      </c>
      <c r="G56" s="46" t="s">
        <v>688</v>
      </c>
      <c r="H56" s="48">
        <v>99538800</v>
      </c>
      <c r="I56" s="46"/>
      <c r="J56" s="48">
        <v>55473220</v>
      </c>
      <c r="K56" s="46"/>
      <c r="L56" s="20" t="s">
        <v>2419</v>
      </c>
      <c r="M56" s="46" t="s">
        <v>626</v>
      </c>
      <c r="N56" s="46" t="s">
        <v>984</v>
      </c>
      <c r="O56" s="46" t="s">
        <v>253</v>
      </c>
      <c r="P56" s="46" t="s">
        <v>988</v>
      </c>
      <c r="Q56" s="46" t="s">
        <v>2168</v>
      </c>
    </row>
    <row r="57" spans="1:17" ht="15.75" x14ac:dyDescent="0.25">
      <c r="A57" s="122" t="s">
        <v>338</v>
      </c>
      <c r="B57" s="16" t="s">
        <v>689</v>
      </c>
      <c r="C57" s="16" t="s">
        <v>690</v>
      </c>
      <c r="D57" s="24">
        <v>19913</v>
      </c>
      <c r="E57" s="16" t="s">
        <v>248</v>
      </c>
      <c r="F57" s="16" t="s">
        <v>275</v>
      </c>
      <c r="G57" s="16" t="s">
        <v>691</v>
      </c>
      <c r="H57" s="18">
        <v>98983636</v>
      </c>
      <c r="I57" s="23"/>
      <c r="J57" s="18">
        <v>52944180</v>
      </c>
      <c r="K57" s="23"/>
      <c r="L57" s="46" t="s">
        <v>2400</v>
      </c>
      <c r="M57" s="16" t="s">
        <v>67</v>
      </c>
      <c r="N57" s="16" t="s">
        <v>692</v>
      </c>
      <c r="O57" s="16" t="s">
        <v>253</v>
      </c>
      <c r="P57" s="16" t="s">
        <v>987</v>
      </c>
      <c r="Q57" s="16" t="s">
        <v>1884</v>
      </c>
    </row>
    <row r="58" spans="1:17" s="49" customFormat="1" ht="15.75" x14ac:dyDescent="0.25">
      <c r="A58" s="122" t="s">
        <v>339</v>
      </c>
      <c r="B58" s="46" t="s">
        <v>871</v>
      </c>
      <c r="C58" s="46" t="s">
        <v>693</v>
      </c>
      <c r="D58" s="47">
        <v>14441</v>
      </c>
      <c r="E58" s="46" t="s">
        <v>248</v>
      </c>
      <c r="F58" s="46" t="s">
        <v>603</v>
      </c>
      <c r="G58" s="46" t="s">
        <v>694</v>
      </c>
      <c r="H58" s="48">
        <v>24554326</v>
      </c>
      <c r="I58" s="46" t="s">
        <v>882</v>
      </c>
      <c r="J58" s="48">
        <v>97834773</v>
      </c>
      <c r="K58" s="46" t="s">
        <v>882</v>
      </c>
      <c r="L58" s="20" t="s">
        <v>2419</v>
      </c>
      <c r="M58" s="46" t="s">
        <v>67</v>
      </c>
      <c r="N58" s="46" t="s">
        <v>1168</v>
      </c>
      <c r="O58" s="46" t="s">
        <v>253</v>
      </c>
      <c r="P58" s="46" t="s">
        <v>988</v>
      </c>
      <c r="Q58" s="46" t="s">
        <v>1886</v>
      </c>
    </row>
    <row r="59" spans="1:17" s="49" customFormat="1" ht="15.75" x14ac:dyDescent="0.25">
      <c r="A59" s="122" t="s">
        <v>340</v>
      </c>
      <c r="B59" s="46" t="s">
        <v>588</v>
      </c>
      <c r="C59" s="46" t="s">
        <v>695</v>
      </c>
      <c r="D59" s="47">
        <v>21614</v>
      </c>
      <c r="E59" s="46" t="s">
        <v>248</v>
      </c>
      <c r="F59" s="46" t="s">
        <v>696</v>
      </c>
      <c r="G59" s="46" t="s">
        <v>1208</v>
      </c>
      <c r="H59" s="48" t="s">
        <v>1209</v>
      </c>
      <c r="I59" s="46">
        <v>58145274</v>
      </c>
      <c r="J59" s="48">
        <v>58798955</v>
      </c>
      <c r="K59" s="46" t="s">
        <v>697</v>
      </c>
      <c r="L59" s="46" t="s">
        <v>2406</v>
      </c>
      <c r="M59" s="46" t="s">
        <v>67</v>
      </c>
      <c r="N59" s="46" t="s">
        <v>698</v>
      </c>
      <c r="O59" s="46" t="s">
        <v>253</v>
      </c>
      <c r="P59" s="46" t="s">
        <v>987</v>
      </c>
      <c r="Q59" s="46" t="s">
        <v>1210</v>
      </c>
    </row>
    <row r="60" spans="1:17" ht="15.75" x14ac:dyDescent="0.25">
      <c r="A60" s="122" t="s">
        <v>341</v>
      </c>
      <c r="B60" s="16" t="s">
        <v>1888</v>
      </c>
      <c r="C60" s="16" t="s">
        <v>699</v>
      </c>
      <c r="D60" s="28">
        <v>24103</v>
      </c>
      <c r="E60" s="16" t="s">
        <v>263</v>
      </c>
      <c r="F60" s="16" t="s">
        <v>700</v>
      </c>
      <c r="G60" s="16" t="s">
        <v>1892</v>
      </c>
      <c r="H60" s="18">
        <v>52511686</v>
      </c>
      <c r="I60" s="23"/>
      <c r="J60" s="73">
        <v>29319857</v>
      </c>
      <c r="K60" s="23" t="s">
        <v>1895</v>
      </c>
      <c r="L60" s="16" t="s">
        <v>2407</v>
      </c>
      <c r="M60" s="16" t="s">
        <v>67</v>
      </c>
      <c r="N60" s="16" t="s">
        <v>701</v>
      </c>
      <c r="O60" s="16" t="s">
        <v>253</v>
      </c>
      <c r="P60" s="16" t="s">
        <v>988</v>
      </c>
      <c r="Q60" s="16" t="s">
        <v>1893</v>
      </c>
    </row>
    <row r="61" spans="1:17" ht="15.75" x14ac:dyDescent="0.25">
      <c r="A61" s="124" t="s">
        <v>342</v>
      </c>
      <c r="B61" s="125" t="s">
        <v>589</v>
      </c>
      <c r="C61" s="16" t="s">
        <v>702</v>
      </c>
      <c r="D61" s="24">
        <v>18892</v>
      </c>
      <c r="E61" s="16" t="s">
        <v>248</v>
      </c>
      <c r="F61" s="16" t="s">
        <v>285</v>
      </c>
      <c r="G61" s="16" t="s">
        <v>703</v>
      </c>
      <c r="H61" s="18">
        <v>93901468</v>
      </c>
      <c r="I61" s="23"/>
      <c r="J61" s="20"/>
      <c r="K61" s="23"/>
      <c r="L61" s="25" t="s">
        <v>984</v>
      </c>
      <c r="M61" s="16" t="s">
        <v>626</v>
      </c>
      <c r="N61" s="20"/>
      <c r="O61" s="29" t="s">
        <v>671</v>
      </c>
      <c r="P61" s="20" t="s">
        <v>987</v>
      </c>
      <c r="Q61" s="16" t="s">
        <v>747</v>
      </c>
    </row>
    <row r="62" spans="1:17" ht="15.75" x14ac:dyDescent="0.25">
      <c r="A62" s="124" t="s">
        <v>343</v>
      </c>
      <c r="B62" s="125" t="s">
        <v>704</v>
      </c>
      <c r="C62" s="16" t="s">
        <v>705</v>
      </c>
      <c r="D62" s="20"/>
      <c r="E62" s="16" t="s">
        <v>248</v>
      </c>
      <c r="F62" s="16" t="s">
        <v>285</v>
      </c>
      <c r="G62" s="16" t="s">
        <v>285</v>
      </c>
      <c r="H62" s="18">
        <v>24423124</v>
      </c>
      <c r="I62" s="23"/>
      <c r="J62" s="20"/>
      <c r="K62" s="23"/>
      <c r="L62" s="25" t="s">
        <v>984</v>
      </c>
      <c r="M62" s="16" t="s">
        <v>626</v>
      </c>
      <c r="N62" s="20"/>
      <c r="O62" s="29" t="s">
        <v>671</v>
      </c>
      <c r="P62" s="20" t="s">
        <v>987</v>
      </c>
      <c r="Q62" s="16" t="s">
        <v>747</v>
      </c>
    </row>
    <row r="63" spans="1:17" s="56" customFormat="1" ht="15.75" x14ac:dyDescent="0.25">
      <c r="A63" s="122" t="s">
        <v>344</v>
      </c>
      <c r="B63" s="20" t="s">
        <v>1713</v>
      </c>
      <c r="C63" s="20" t="s">
        <v>1714</v>
      </c>
      <c r="D63" s="28">
        <v>21687</v>
      </c>
      <c r="E63" s="20" t="s">
        <v>946</v>
      </c>
      <c r="F63" s="20" t="s">
        <v>659</v>
      </c>
      <c r="G63" s="20" t="s">
        <v>659</v>
      </c>
      <c r="H63" s="31">
        <v>26752977</v>
      </c>
      <c r="I63" s="20" t="s">
        <v>1715</v>
      </c>
      <c r="J63" s="20"/>
      <c r="K63" s="20"/>
      <c r="L63" s="20" t="s">
        <v>2414</v>
      </c>
      <c r="M63" s="20" t="s">
        <v>947</v>
      </c>
      <c r="N63" s="20" t="s">
        <v>1716</v>
      </c>
      <c r="O63" s="20" t="s">
        <v>253</v>
      </c>
      <c r="P63" s="20" t="s">
        <v>921</v>
      </c>
      <c r="Q63" s="20" t="s">
        <v>1717</v>
      </c>
    </row>
    <row r="64" spans="1:17" ht="15.75" x14ac:dyDescent="0.25">
      <c r="A64" s="124" t="s">
        <v>345</v>
      </c>
      <c r="B64" s="125" t="s">
        <v>590</v>
      </c>
      <c r="C64" s="17" t="s">
        <v>1108</v>
      </c>
      <c r="D64" s="20"/>
      <c r="E64" s="16" t="s">
        <v>248</v>
      </c>
      <c r="F64" s="16" t="s">
        <v>285</v>
      </c>
      <c r="G64" s="16" t="s">
        <v>285</v>
      </c>
      <c r="H64" s="18">
        <v>22967309</v>
      </c>
      <c r="I64" s="23"/>
      <c r="J64" s="20"/>
      <c r="K64" s="23"/>
      <c r="L64" s="17" t="s">
        <v>2423</v>
      </c>
      <c r="M64" s="17" t="s">
        <v>626</v>
      </c>
      <c r="N64" s="17"/>
      <c r="O64" s="29" t="s">
        <v>671</v>
      </c>
      <c r="P64" s="16" t="s">
        <v>988</v>
      </c>
      <c r="Q64" s="16" t="s">
        <v>1625</v>
      </c>
    </row>
    <row r="65" spans="1:17" ht="15.75" x14ac:dyDescent="0.25">
      <c r="A65" s="122" t="s">
        <v>346</v>
      </c>
      <c r="B65" s="16" t="s">
        <v>706</v>
      </c>
      <c r="C65" s="16" t="s">
        <v>707</v>
      </c>
      <c r="D65" s="24">
        <v>27631</v>
      </c>
      <c r="E65" s="16" t="s">
        <v>248</v>
      </c>
      <c r="F65" s="16" t="s">
        <v>248</v>
      </c>
      <c r="G65" s="16" t="s">
        <v>708</v>
      </c>
      <c r="H65" s="18">
        <v>56249871</v>
      </c>
      <c r="I65" s="23"/>
      <c r="J65" s="18">
        <v>50252097</v>
      </c>
      <c r="K65" s="23"/>
      <c r="L65" s="16" t="s">
        <v>2404</v>
      </c>
      <c r="M65" s="16" t="s">
        <v>67</v>
      </c>
      <c r="N65" s="16" t="s">
        <v>709</v>
      </c>
      <c r="O65" s="16" t="s">
        <v>253</v>
      </c>
      <c r="P65" s="16" t="s">
        <v>988</v>
      </c>
      <c r="Q65" s="125" t="s">
        <v>1916</v>
      </c>
    </row>
    <row r="66" spans="1:17" ht="15.75" x14ac:dyDescent="0.25">
      <c r="A66" s="124" t="s">
        <v>347</v>
      </c>
      <c r="B66" s="125" t="s">
        <v>591</v>
      </c>
      <c r="C66" s="16" t="s">
        <v>710</v>
      </c>
      <c r="D66" s="24">
        <v>17999</v>
      </c>
      <c r="E66" s="16" t="s">
        <v>248</v>
      </c>
      <c r="F66" s="16" t="s">
        <v>249</v>
      </c>
      <c r="G66" s="16" t="s">
        <v>711</v>
      </c>
      <c r="H66" s="18">
        <v>51623767</v>
      </c>
      <c r="I66" s="16" t="s">
        <v>613</v>
      </c>
      <c r="J66" s="18">
        <v>98358162</v>
      </c>
      <c r="K66" s="16" t="s">
        <v>712</v>
      </c>
      <c r="L66" s="46" t="s">
        <v>2400</v>
      </c>
      <c r="M66" s="16" t="s">
        <v>67</v>
      </c>
      <c r="N66" s="16" t="s">
        <v>713</v>
      </c>
      <c r="O66" s="29" t="s">
        <v>671</v>
      </c>
      <c r="P66" s="20" t="s">
        <v>987</v>
      </c>
      <c r="Q66" s="16" t="s">
        <v>1167</v>
      </c>
    </row>
    <row r="67" spans="1:17" ht="15.75" x14ac:dyDescent="0.25">
      <c r="A67" s="122" t="s">
        <v>348</v>
      </c>
      <c r="B67" s="16" t="s">
        <v>718</v>
      </c>
      <c r="C67" s="16" t="s">
        <v>719</v>
      </c>
      <c r="D67" s="33">
        <v>15612</v>
      </c>
      <c r="E67" s="16" t="s">
        <v>248</v>
      </c>
      <c r="F67" s="16" t="s">
        <v>603</v>
      </c>
      <c r="G67" s="16" t="s">
        <v>748</v>
      </c>
      <c r="H67" s="18">
        <v>54169327</v>
      </c>
      <c r="I67" s="18">
        <v>55739701</v>
      </c>
      <c r="J67" s="18">
        <v>52054081</v>
      </c>
      <c r="K67" s="23"/>
      <c r="L67" s="16" t="s">
        <v>2407</v>
      </c>
      <c r="M67" s="16" t="s">
        <v>67</v>
      </c>
      <c r="N67" s="33" t="s">
        <v>737</v>
      </c>
      <c r="O67" s="16" t="s">
        <v>253</v>
      </c>
      <c r="P67" s="16" t="s">
        <v>988</v>
      </c>
      <c r="Q67" s="16"/>
    </row>
    <row r="68" spans="1:17" s="49" customFormat="1" ht="15.75" x14ac:dyDescent="0.25">
      <c r="A68" s="122" t="s">
        <v>349</v>
      </c>
      <c r="B68" s="59" t="s">
        <v>728</v>
      </c>
      <c r="C68" s="46" t="s">
        <v>720</v>
      </c>
      <c r="D68" s="60">
        <v>18639</v>
      </c>
      <c r="E68" s="46" t="s">
        <v>291</v>
      </c>
      <c r="F68" s="46" t="s">
        <v>641</v>
      </c>
      <c r="G68" s="46" t="s">
        <v>1832</v>
      </c>
      <c r="H68" s="48">
        <v>20724950</v>
      </c>
      <c r="I68" s="46"/>
      <c r="J68" s="48"/>
      <c r="K68" s="46"/>
      <c r="L68" s="16" t="s">
        <v>2422</v>
      </c>
      <c r="M68" s="46" t="s">
        <v>67</v>
      </c>
      <c r="N68" s="128" t="s">
        <v>1833</v>
      </c>
      <c r="O68" s="46" t="s">
        <v>253</v>
      </c>
      <c r="P68" s="46" t="s">
        <v>988</v>
      </c>
      <c r="Q68" s="46" t="s">
        <v>1834</v>
      </c>
    </row>
    <row r="69" spans="1:17" s="49" customFormat="1" ht="15.75" x14ac:dyDescent="0.25">
      <c r="A69" s="122" t="s">
        <v>350</v>
      </c>
      <c r="B69" s="59" t="s">
        <v>729</v>
      </c>
      <c r="C69" s="46" t="s">
        <v>1808</v>
      </c>
      <c r="D69" s="60">
        <v>22078</v>
      </c>
      <c r="E69" s="46" t="s">
        <v>291</v>
      </c>
      <c r="F69" s="46" t="s">
        <v>291</v>
      </c>
      <c r="G69" s="46" t="s">
        <v>1809</v>
      </c>
      <c r="H69" s="48">
        <v>97246256</v>
      </c>
      <c r="I69" s="46"/>
      <c r="J69" s="46"/>
      <c r="K69" s="46"/>
      <c r="L69" s="16" t="s">
        <v>2422</v>
      </c>
      <c r="M69" s="46" t="s">
        <v>67</v>
      </c>
      <c r="N69" s="128" t="s">
        <v>1810</v>
      </c>
      <c r="O69" s="46" t="s">
        <v>253</v>
      </c>
      <c r="P69" s="46" t="s">
        <v>988</v>
      </c>
      <c r="Q69" s="46" t="s">
        <v>1811</v>
      </c>
    </row>
    <row r="70" spans="1:17" ht="15.75" x14ac:dyDescent="0.25">
      <c r="A70" s="122" t="s">
        <v>351</v>
      </c>
      <c r="B70" s="129" t="s">
        <v>872</v>
      </c>
      <c r="C70" s="34" t="s">
        <v>721</v>
      </c>
      <c r="D70" s="34">
        <v>14636</v>
      </c>
      <c r="E70" s="16" t="s">
        <v>248</v>
      </c>
      <c r="F70" s="16" t="s">
        <v>248</v>
      </c>
      <c r="G70" s="16" t="s">
        <v>749</v>
      </c>
      <c r="H70" s="18">
        <v>21319997</v>
      </c>
      <c r="I70" s="23"/>
      <c r="J70" s="18">
        <v>73213196</v>
      </c>
      <c r="K70" s="23"/>
      <c r="L70" s="46" t="s">
        <v>2406</v>
      </c>
      <c r="M70" s="16" t="s">
        <v>67</v>
      </c>
      <c r="N70" s="20" t="s">
        <v>738</v>
      </c>
      <c r="O70" s="16" t="s">
        <v>253</v>
      </c>
      <c r="P70" s="16" t="s">
        <v>988</v>
      </c>
      <c r="Q70" s="16"/>
    </row>
    <row r="71" spans="1:17" s="49" customFormat="1" ht="15.75" x14ac:dyDescent="0.25">
      <c r="A71" s="122" t="s">
        <v>352</v>
      </c>
      <c r="B71" s="59" t="s">
        <v>1849</v>
      </c>
      <c r="C71" s="60" t="s">
        <v>722</v>
      </c>
      <c r="D71" s="60">
        <v>21677</v>
      </c>
      <c r="E71" s="46" t="s">
        <v>248</v>
      </c>
      <c r="F71" s="46" t="s">
        <v>867</v>
      </c>
      <c r="G71" s="46" t="s">
        <v>2124</v>
      </c>
      <c r="H71" s="48">
        <v>96177435</v>
      </c>
      <c r="I71" s="46"/>
      <c r="J71" s="48">
        <v>98827670</v>
      </c>
      <c r="K71" s="46"/>
      <c r="L71" s="46" t="s">
        <v>2406</v>
      </c>
      <c r="M71" s="46" t="s">
        <v>67</v>
      </c>
      <c r="N71" s="46" t="s">
        <v>739</v>
      </c>
      <c r="O71" s="46" t="s">
        <v>253</v>
      </c>
      <c r="P71" s="46" t="s">
        <v>988</v>
      </c>
      <c r="Q71" s="130" t="s">
        <v>2134</v>
      </c>
    </row>
    <row r="72" spans="1:17" ht="15.75" x14ac:dyDescent="0.25">
      <c r="A72" s="122" t="s">
        <v>353</v>
      </c>
      <c r="B72" s="129" t="s">
        <v>730</v>
      </c>
      <c r="C72" s="34" t="s">
        <v>723</v>
      </c>
      <c r="D72" s="28">
        <v>21291</v>
      </c>
      <c r="E72" s="16" t="s">
        <v>248</v>
      </c>
      <c r="F72" s="16" t="s">
        <v>248</v>
      </c>
      <c r="G72" s="16" t="s">
        <v>248</v>
      </c>
      <c r="H72" s="18">
        <v>99897071</v>
      </c>
      <c r="I72" s="58" t="s">
        <v>1556</v>
      </c>
      <c r="J72" s="18">
        <v>20043034</v>
      </c>
      <c r="K72" s="23"/>
      <c r="L72" s="46" t="s">
        <v>2406</v>
      </c>
      <c r="M72" s="16" t="s">
        <v>67</v>
      </c>
      <c r="N72" s="20" t="s">
        <v>740</v>
      </c>
      <c r="O72" s="16" t="s">
        <v>253</v>
      </c>
      <c r="P72" s="16" t="s">
        <v>988</v>
      </c>
      <c r="Q72" s="16"/>
    </row>
    <row r="73" spans="1:17" s="49" customFormat="1" ht="15.75" x14ac:dyDescent="0.25">
      <c r="A73" s="122" t="s">
        <v>354</v>
      </c>
      <c r="B73" s="59" t="s">
        <v>731</v>
      </c>
      <c r="C73" s="60" t="s">
        <v>1815</v>
      </c>
      <c r="D73" s="47">
        <v>25815</v>
      </c>
      <c r="E73" s="46" t="s">
        <v>291</v>
      </c>
      <c r="F73" s="46" t="s">
        <v>641</v>
      </c>
      <c r="G73" s="46" t="s">
        <v>849</v>
      </c>
      <c r="H73" s="48">
        <v>22163684</v>
      </c>
      <c r="I73" s="48"/>
      <c r="J73" s="48">
        <v>94092237</v>
      </c>
      <c r="K73" s="46"/>
      <c r="L73" s="16" t="s">
        <v>2422</v>
      </c>
      <c r="M73" s="46" t="s">
        <v>67</v>
      </c>
      <c r="N73" s="46" t="s">
        <v>741</v>
      </c>
      <c r="O73" s="46" t="s">
        <v>253</v>
      </c>
      <c r="P73" s="46" t="s">
        <v>988</v>
      </c>
      <c r="Q73" s="46" t="s">
        <v>1831</v>
      </c>
    </row>
    <row r="74" spans="1:17" ht="15.75" x14ac:dyDescent="0.25">
      <c r="A74" s="122" t="s">
        <v>355</v>
      </c>
      <c r="B74" s="129" t="s">
        <v>873</v>
      </c>
      <c r="C74" s="34" t="s">
        <v>724</v>
      </c>
      <c r="D74" s="28">
        <v>19348</v>
      </c>
      <c r="E74" s="16" t="s">
        <v>248</v>
      </c>
      <c r="F74" s="16" t="s">
        <v>603</v>
      </c>
      <c r="G74" s="16" t="s">
        <v>603</v>
      </c>
      <c r="H74" s="18">
        <v>97406107</v>
      </c>
      <c r="I74" s="18">
        <v>55690624</v>
      </c>
      <c r="J74" s="18">
        <v>93191535</v>
      </c>
      <c r="K74" s="23"/>
      <c r="L74" s="46" t="s">
        <v>2400</v>
      </c>
      <c r="M74" s="16" t="s">
        <v>67</v>
      </c>
      <c r="N74" s="20" t="s">
        <v>742</v>
      </c>
      <c r="O74" s="16" t="s">
        <v>253</v>
      </c>
      <c r="P74" s="16" t="s">
        <v>988</v>
      </c>
      <c r="Q74" s="16"/>
    </row>
    <row r="75" spans="1:17" s="49" customFormat="1" ht="15.75" x14ac:dyDescent="0.25">
      <c r="A75" s="122" t="s">
        <v>356</v>
      </c>
      <c r="B75" s="59" t="s">
        <v>732</v>
      </c>
      <c r="C75" s="60" t="s">
        <v>725</v>
      </c>
      <c r="D75" s="47">
        <v>17095</v>
      </c>
      <c r="E75" s="46" t="s">
        <v>248</v>
      </c>
      <c r="F75" s="46" t="s">
        <v>830</v>
      </c>
      <c r="G75" s="46" t="s">
        <v>1776</v>
      </c>
      <c r="H75" s="48">
        <v>25739661</v>
      </c>
      <c r="I75" s="48"/>
      <c r="J75" s="48" t="s">
        <v>1777</v>
      </c>
      <c r="K75" s="46"/>
      <c r="L75" s="46" t="s">
        <v>2400</v>
      </c>
      <c r="M75" s="46" t="s">
        <v>67</v>
      </c>
      <c r="N75" s="46" t="s">
        <v>1778</v>
      </c>
      <c r="O75" s="46" t="s">
        <v>253</v>
      </c>
      <c r="P75" s="46" t="s">
        <v>988</v>
      </c>
      <c r="Q75" s="46" t="s">
        <v>1779</v>
      </c>
    </row>
    <row r="76" spans="1:17" s="49" customFormat="1" ht="15.75" x14ac:dyDescent="0.25">
      <c r="A76" s="122" t="s">
        <v>357</v>
      </c>
      <c r="B76" s="59" t="s">
        <v>733</v>
      </c>
      <c r="C76" s="60" t="s">
        <v>1783</v>
      </c>
      <c r="D76" s="74">
        <v>22657</v>
      </c>
      <c r="E76" s="46" t="s">
        <v>291</v>
      </c>
      <c r="F76" s="46" t="s">
        <v>291</v>
      </c>
      <c r="G76" s="46" t="s">
        <v>1782</v>
      </c>
      <c r="H76" s="48">
        <v>50173782</v>
      </c>
      <c r="I76" s="46"/>
      <c r="J76" s="48">
        <v>23042745</v>
      </c>
      <c r="K76" s="131"/>
      <c r="L76" s="16" t="s">
        <v>2422</v>
      </c>
      <c r="M76" s="46" t="s">
        <v>67</v>
      </c>
      <c r="N76" s="46" t="s">
        <v>743</v>
      </c>
      <c r="O76" s="46" t="s">
        <v>253</v>
      </c>
      <c r="P76" s="46" t="s">
        <v>988</v>
      </c>
      <c r="Q76" s="46" t="s">
        <v>2501</v>
      </c>
    </row>
    <row r="77" spans="1:17" s="49" customFormat="1" ht="15.75" x14ac:dyDescent="0.25">
      <c r="A77" s="122" t="s">
        <v>358</v>
      </c>
      <c r="B77" s="59" t="s">
        <v>734</v>
      </c>
      <c r="C77" s="60" t="s">
        <v>1818</v>
      </c>
      <c r="D77" s="47">
        <v>21200</v>
      </c>
      <c r="E77" s="46" t="s">
        <v>291</v>
      </c>
      <c r="F77" s="46" t="s">
        <v>641</v>
      </c>
      <c r="G77" s="46" t="s">
        <v>1819</v>
      </c>
      <c r="H77" s="48">
        <v>97885277</v>
      </c>
      <c r="I77" s="46"/>
      <c r="J77" s="46"/>
      <c r="K77" s="48">
        <v>20202277</v>
      </c>
      <c r="L77" s="16" t="s">
        <v>2422</v>
      </c>
      <c r="M77" s="46" t="s">
        <v>67</v>
      </c>
      <c r="N77" s="128" t="s">
        <v>744</v>
      </c>
      <c r="O77" s="46" t="s">
        <v>253</v>
      </c>
      <c r="P77" s="46" t="s">
        <v>988</v>
      </c>
      <c r="Q77" s="46" t="s">
        <v>1972</v>
      </c>
    </row>
    <row r="78" spans="1:17" ht="15.75" x14ac:dyDescent="0.25">
      <c r="A78" s="122" t="s">
        <v>359</v>
      </c>
      <c r="B78" s="132" t="s">
        <v>735</v>
      </c>
      <c r="C78" s="34" t="s">
        <v>726</v>
      </c>
      <c r="D78" s="28">
        <v>16681</v>
      </c>
      <c r="E78" s="16" t="s">
        <v>248</v>
      </c>
      <c r="F78" s="16" t="s">
        <v>867</v>
      </c>
      <c r="G78" s="16" t="s">
        <v>651</v>
      </c>
      <c r="H78" s="18">
        <v>98475926</v>
      </c>
      <c r="I78" s="23"/>
      <c r="J78" s="18">
        <v>98827054</v>
      </c>
      <c r="K78" s="23"/>
      <c r="L78" s="46" t="s">
        <v>2406</v>
      </c>
      <c r="M78" s="16" t="s">
        <v>67</v>
      </c>
      <c r="N78" s="33" t="s">
        <v>745</v>
      </c>
      <c r="O78" s="16" t="s">
        <v>253</v>
      </c>
      <c r="P78" s="16" t="s">
        <v>988</v>
      </c>
      <c r="Q78" s="16"/>
    </row>
    <row r="79" spans="1:17" ht="15.75" x14ac:dyDescent="0.25">
      <c r="A79" s="122" t="s">
        <v>360</v>
      </c>
      <c r="B79" s="132" t="s">
        <v>736</v>
      </c>
      <c r="C79" s="75" t="s">
        <v>727</v>
      </c>
      <c r="D79" s="24">
        <v>13499</v>
      </c>
      <c r="E79" s="16" t="s">
        <v>248</v>
      </c>
      <c r="F79" s="16" t="s">
        <v>285</v>
      </c>
      <c r="G79" s="16" t="s">
        <v>880</v>
      </c>
      <c r="H79" s="18">
        <v>21998600</v>
      </c>
      <c r="I79" s="16" t="s">
        <v>853</v>
      </c>
      <c r="J79" s="18">
        <v>96109966</v>
      </c>
      <c r="K79" s="23"/>
      <c r="L79" s="16" t="s">
        <v>2415</v>
      </c>
      <c r="M79" s="16" t="s">
        <v>67</v>
      </c>
      <c r="N79" s="133" t="s">
        <v>746</v>
      </c>
      <c r="O79" s="16" t="s">
        <v>253</v>
      </c>
      <c r="P79" s="16" t="s">
        <v>987</v>
      </c>
      <c r="Q79" s="16"/>
    </row>
    <row r="80" spans="1:17" s="49" customFormat="1" ht="15.75" x14ac:dyDescent="0.25">
      <c r="A80" s="122" t="s">
        <v>361</v>
      </c>
      <c r="B80" s="134" t="s">
        <v>750</v>
      </c>
      <c r="C80" s="46" t="s">
        <v>1786</v>
      </c>
      <c r="D80" s="47">
        <v>16155</v>
      </c>
      <c r="E80" s="46" t="s">
        <v>291</v>
      </c>
      <c r="F80" s="46" t="s">
        <v>773</v>
      </c>
      <c r="G80" s="46" t="s">
        <v>1787</v>
      </c>
      <c r="H80" s="48">
        <v>56464659</v>
      </c>
      <c r="I80" s="46"/>
      <c r="J80" s="48">
        <v>53447276</v>
      </c>
      <c r="K80" s="46"/>
      <c r="L80" s="16" t="s">
        <v>2422</v>
      </c>
      <c r="M80" s="46" t="s">
        <v>67</v>
      </c>
      <c r="N80" s="46" t="s">
        <v>1788</v>
      </c>
      <c r="O80" s="46" t="s">
        <v>253</v>
      </c>
      <c r="P80" s="46" t="s">
        <v>988</v>
      </c>
      <c r="Q80" s="46" t="s">
        <v>1789</v>
      </c>
    </row>
    <row r="81" spans="1:17" ht="15.75" x14ac:dyDescent="0.25">
      <c r="A81" s="122" t="s">
        <v>362</v>
      </c>
      <c r="B81" s="129" t="s">
        <v>1969</v>
      </c>
      <c r="C81" s="16" t="s">
        <v>775</v>
      </c>
      <c r="D81" s="33"/>
      <c r="E81" s="16" t="s">
        <v>279</v>
      </c>
      <c r="F81" s="16" t="s">
        <v>776</v>
      </c>
      <c r="G81" s="16" t="s">
        <v>774</v>
      </c>
      <c r="H81" s="18">
        <v>93507886</v>
      </c>
      <c r="I81" s="16" t="s">
        <v>643</v>
      </c>
      <c r="J81" s="18">
        <v>55112534</v>
      </c>
      <c r="K81" s="16" t="s">
        <v>783</v>
      </c>
      <c r="L81" s="20" t="s">
        <v>2421</v>
      </c>
      <c r="M81" s="16" t="s">
        <v>67</v>
      </c>
      <c r="N81" s="34" t="s">
        <v>791</v>
      </c>
      <c r="O81" s="16" t="s">
        <v>253</v>
      </c>
      <c r="P81" s="16" t="s">
        <v>987</v>
      </c>
      <c r="Q81" s="16"/>
    </row>
    <row r="82" spans="1:17" ht="15.75" x14ac:dyDescent="0.25">
      <c r="A82" s="122" t="s">
        <v>363</v>
      </c>
      <c r="B82" s="132" t="s">
        <v>751</v>
      </c>
      <c r="C82" s="34" t="s">
        <v>784</v>
      </c>
      <c r="D82" s="33"/>
      <c r="E82" s="16" t="s">
        <v>248</v>
      </c>
      <c r="F82" s="16" t="s">
        <v>261</v>
      </c>
      <c r="G82" s="16" t="s">
        <v>792</v>
      </c>
      <c r="H82" s="18">
        <v>52140388</v>
      </c>
      <c r="I82" s="16"/>
      <c r="J82" s="18">
        <v>51705909</v>
      </c>
      <c r="K82" s="16" t="s">
        <v>793</v>
      </c>
      <c r="L82" s="46" t="s">
        <v>2406</v>
      </c>
      <c r="M82" s="16" t="s">
        <v>67</v>
      </c>
      <c r="N82" s="34" t="s">
        <v>777</v>
      </c>
      <c r="O82" s="16" t="s">
        <v>253</v>
      </c>
      <c r="P82" s="16" t="s">
        <v>987</v>
      </c>
      <c r="Q82" s="16"/>
    </row>
    <row r="83" spans="1:17" ht="15.75" x14ac:dyDescent="0.25">
      <c r="A83" s="122" t="s">
        <v>364</v>
      </c>
      <c r="B83" s="129" t="s">
        <v>1974</v>
      </c>
      <c r="C83" s="34" t="s">
        <v>785</v>
      </c>
      <c r="D83" s="33">
        <v>24093</v>
      </c>
      <c r="E83" s="16" t="s">
        <v>248</v>
      </c>
      <c r="F83" s="16" t="s">
        <v>285</v>
      </c>
      <c r="G83" s="16" t="s">
        <v>794</v>
      </c>
      <c r="H83" s="18">
        <v>29004257</v>
      </c>
      <c r="I83" s="18">
        <v>54811302</v>
      </c>
      <c r="J83" s="18">
        <v>27364251</v>
      </c>
      <c r="K83" s="23"/>
      <c r="L83" s="16" t="s">
        <v>2415</v>
      </c>
      <c r="M83" s="16" t="s">
        <v>67</v>
      </c>
      <c r="N83" s="28" t="s">
        <v>795</v>
      </c>
      <c r="O83" s="16" t="s">
        <v>253</v>
      </c>
      <c r="P83" s="16" t="s">
        <v>987</v>
      </c>
      <c r="Q83" s="16"/>
    </row>
    <row r="84" spans="1:17" s="49" customFormat="1" ht="15.75" x14ac:dyDescent="0.25">
      <c r="A84" s="122" t="s">
        <v>365</v>
      </c>
      <c r="B84" s="59" t="s">
        <v>752</v>
      </c>
      <c r="C84" s="47" t="s">
        <v>1802</v>
      </c>
      <c r="D84" s="47">
        <v>20988</v>
      </c>
      <c r="E84" s="46" t="s">
        <v>291</v>
      </c>
      <c r="F84" s="46" t="s">
        <v>641</v>
      </c>
      <c r="G84" s="46" t="s">
        <v>1803</v>
      </c>
      <c r="H84" s="48">
        <v>25826425</v>
      </c>
      <c r="I84" s="48"/>
      <c r="J84" s="48">
        <v>24843175</v>
      </c>
      <c r="K84" s="46"/>
      <c r="L84" s="16" t="s">
        <v>2422</v>
      </c>
      <c r="M84" s="46" t="s">
        <v>67</v>
      </c>
      <c r="N84" s="46" t="s">
        <v>1804</v>
      </c>
      <c r="O84" s="46" t="s">
        <v>253</v>
      </c>
      <c r="P84" s="46" t="s">
        <v>988</v>
      </c>
      <c r="Q84" s="46" t="s">
        <v>1807</v>
      </c>
    </row>
    <row r="85" spans="1:17" s="14" customFormat="1" ht="15.75" x14ac:dyDescent="0.25">
      <c r="A85" s="122" t="s">
        <v>366</v>
      </c>
      <c r="B85" s="20" t="s">
        <v>753</v>
      </c>
      <c r="C85" s="20" t="s">
        <v>796</v>
      </c>
      <c r="D85" s="20"/>
      <c r="E85" s="20" t="s">
        <v>248</v>
      </c>
      <c r="F85" s="20" t="s">
        <v>261</v>
      </c>
      <c r="G85" s="20" t="s">
        <v>797</v>
      </c>
      <c r="H85" s="31">
        <v>97227495</v>
      </c>
      <c r="I85" s="31">
        <v>53523682</v>
      </c>
      <c r="J85" s="31">
        <v>21323681</v>
      </c>
      <c r="K85" s="20"/>
      <c r="L85" s="20" t="s">
        <v>2419</v>
      </c>
      <c r="M85" s="22" t="s">
        <v>67</v>
      </c>
      <c r="N85" s="22" t="s">
        <v>801</v>
      </c>
      <c r="O85" s="22" t="s">
        <v>253</v>
      </c>
      <c r="P85" s="22" t="s">
        <v>988</v>
      </c>
      <c r="Q85" s="20" t="s">
        <v>884</v>
      </c>
    </row>
    <row r="86" spans="1:17" s="49" customFormat="1" ht="15.75" x14ac:dyDescent="0.25">
      <c r="A86" s="122" t="s">
        <v>367</v>
      </c>
      <c r="B86" s="46" t="s">
        <v>754</v>
      </c>
      <c r="C86" s="46" t="s">
        <v>786</v>
      </c>
      <c r="D86" s="47">
        <v>21073</v>
      </c>
      <c r="E86" s="46" t="s">
        <v>256</v>
      </c>
      <c r="F86" s="46" t="s">
        <v>798</v>
      </c>
      <c r="G86" s="46" t="s">
        <v>798</v>
      </c>
      <c r="H86" s="48">
        <v>94685169</v>
      </c>
      <c r="I86" s="46" t="s">
        <v>799</v>
      </c>
      <c r="J86" s="48" t="s">
        <v>2457</v>
      </c>
      <c r="K86" s="46" t="s">
        <v>800</v>
      </c>
      <c r="L86" s="46" t="s">
        <v>2402</v>
      </c>
      <c r="M86" s="46" t="s">
        <v>67</v>
      </c>
      <c r="N86" s="46" t="s">
        <v>2458</v>
      </c>
      <c r="O86" s="46" t="s">
        <v>253</v>
      </c>
      <c r="P86" s="46" t="s">
        <v>988</v>
      </c>
      <c r="Q86" s="46" t="s">
        <v>2459</v>
      </c>
    </row>
    <row r="87" spans="1:17" s="49" customFormat="1" ht="15.75" x14ac:dyDescent="0.25">
      <c r="A87" s="122" t="s">
        <v>368</v>
      </c>
      <c r="B87" s="46" t="s">
        <v>2034</v>
      </c>
      <c r="C87" s="46" t="s">
        <v>2472</v>
      </c>
      <c r="D87" s="47">
        <v>22419</v>
      </c>
      <c r="E87" s="46" t="s">
        <v>291</v>
      </c>
      <c r="F87" s="46" t="s">
        <v>802</v>
      </c>
      <c r="G87" s="46" t="s">
        <v>2473</v>
      </c>
      <c r="H87" s="48">
        <v>29141942</v>
      </c>
      <c r="I87" s="48">
        <v>50382989</v>
      </c>
      <c r="J87" s="48">
        <v>22546026</v>
      </c>
      <c r="K87" s="46"/>
      <c r="L87" s="46" t="s">
        <v>2422</v>
      </c>
      <c r="M87" s="46" t="s">
        <v>67</v>
      </c>
      <c r="N87" s="46" t="s">
        <v>803</v>
      </c>
      <c r="O87" s="46" t="s">
        <v>253</v>
      </c>
      <c r="P87" s="46" t="s">
        <v>988</v>
      </c>
      <c r="Q87" s="46" t="s">
        <v>2478</v>
      </c>
    </row>
    <row r="88" spans="1:17" s="49" customFormat="1" ht="15.75" x14ac:dyDescent="0.25">
      <c r="A88" s="122" t="s">
        <v>369</v>
      </c>
      <c r="B88" s="46" t="s">
        <v>2376</v>
      </c>
      <c r="C88" s="46" t="s">
        <v>2377</v>
      </c>
      <c r="D88" s="47">
        <v>18210</v>
      </c>
      <c r="E88" s="46" t="s">
        <v>248</v>
      </c>
      <c r="F88" s="46" t="s">
        <v>600</v>
      </c>
      <c r="G88" s="46" t="s">
        <v>2378</v>
      </c>
      <c r="H88" s="48">
        <v>28996023</v>
      </c>
      <c r="I88" s="46" t="s">
        <v>712</v>
      </c>
      <c r="J88" s="48">
        <v>52208018</v>
      </c>
      <c r="K88" s="46" t="s">
        <v>853</v>
      </c>
      <c r="L88" s="46" t="s">
        <v>2399</v>
      </c>
      <c r="M88" s="46" t="s">
        <v>67</v>
      </c>
      <c r="N88" s="46" t="s">
        <v>2379</v>
      </c>
      <c r="O88" s="46" t="s">
        <v>253</v>
      </c>
      <c r="P88" s="46" t="s">
        <v>987</v>
      </c>
      <c r="Q88" s="46" t="s">
        <v>2380</v>
      </c>
    </row>
    <row r="89" spans="1:17" s="49" customFormat="1" ht="15.75" x14ac:dyDescent="0.25">
      <c r="A89" s="122" t="s">
        <v>370</v>
      </c>
      <c r="B89" s="46" t="s">
        <v>809</v>
      </c>
      <c r="C89" s="46" t="s">
        <v>1837</v>
      </c>
      <c r="D89" s="47">
        <v>25184</v>
      </c>
      <c r="E89" s="46" t="s">
        <v>291</v>
      </c>
      <c r="F89" s="46" t="s">
        <v>641</v>
      </c>
      <c r="G89" s="46" t="s">
        <v>1838</v>
      </c>
      <c r="H89" s="48">
        <v>20831343</v>
      </c>
      <c r="I89" s="46"/>
      <c r="J89" s="48">
        <v>24096513</v>
      </c>
      <c r="K89" s="46"/>
      <c r="L89" s="16" t="s">
        <v>2422</v>
      </c>
      <c r="M89" s="46" t="s">
        <v>67</v>
      </c>
      <c r="N89" s="46" t="s">
        <v>1839</v>
      </c>
      <c r="O89" s="46" t="s">
        <v>253</v>
      </c>
      <c r="P89" s="46" t="s">
        <v>988</v>
      </c>
      <c r="Q89" s="46" t="s">
        <v>1840</v>
      </c>
    </row>
    <row r="90" spans="1:17" ht="15.75" x14ac:dyDescent="0.25">
      <c r="A90" s="124" t="s">
        <v>371</v>
      </c>
      <c r="B90" s="135" t="s">
        <v>755</v>
      </c>
      <c r="C90" s="20" t="s">
        <v>808</v>
      </c>
      <c r="D90" s="28">
        <v>21415</v>
      </c>
      <c r="E90" s="16" t="s">
        <v>248</v>
      </c>
      <c r="F90" s="16" t="s">
        <v>281</v>
      </c>
      <c r="G90" s="16" t="s">
        <v>810</v>
      </c>
      <c r="H90" s="18">
        <v>58726004</v>
      </c>
      <c r="I90" s="23"/>
      <c r="J90" s="18">
        <v>98983867</v>
      </c>
      <c r="K90" s="23"/>
      <c r="L90" s="46" t="s">
        <v>2406</v>
      </c>
      <c r="M90" s="16" t="s">
        <v>67</v>
      </c>
      <c r="N90" s="20" t="s">
        <v>807</v>
      </c>
      <c r="O90" s="29" t="s">
        <v>671</v>
      </c>
      <c r="P90" s="16" t="s">
        <v>987</v>
      </c>
      <c r="Q90" s="16" t="s">
        <v>1221</v>
      </c>
    </row>
    <row r="91" spans="1:17" ht="15.75" x14ac:dyDescent="0.25">
      <c r="A91" s="122" t="s">
        <v>372</v>
      </c>
      <c r="B91" s="20" t="s">
        <v>756</v>
      </c>
      <c r="C91" s="20" t="s">
        <v>811</v>
      </c>
      <c r="D91" s="20"/>
      <c r="E91" s="16" t="s">
        <v>248</v>
      </c>
      <c r="F91" s="16" t="s">
        <v>562</v>
      </c>
      <c r="G91" s="16" t="s">
        <v>812</v>
      </c>
      <c r="H91" s="18">
        <v>26859597</v>
      </c>
      <c r="I91" s="23"/>
      <c r="J91" s="18">
        <v>99662114</v>
      </c>
      <c r="K91" s="23"/>
      <c r="L91" s="46" t="s">
        <v>2406</v>
      </c>
      <c r="M91" s="16" t="s">
        <v>67</v>
      </c>
      <c r="N91" s="20" t="s">
        <v>813</v>
      </c>
      <c r="O91" s="16" t="s">
        <v>253</v>
      </c>
      <c r="P91" s="16" t="s">
        <v>987</v>
      </c>
      <c r="Q91" s="16"/>
    </row>
    <row r="92" spans="1:17" ht="15.75" x14ac:dyDescent="0.25">
      <c r="A92" s="122" t="s">
        <v>373</v>
      </c>
      <c r="B92" s="20" t="s">
        <v>757</v>
      </c>
      <c r="C92" s="20" t="s">
        <v>814</v>
      </c>
      <c r="D92" s="20"/>
      <c r="E92" s="16" t="s">
        <v>248</v>
      </c>
      <c r="F92" s="16" t="s">
        <v>285</v>
      </c>
      <c r="G92" s="16" t="s">
        <v>815</v>
      </c>
      <c r="H92" s="18">
        <v>54570628</v>
      </c>
      <c r="I92" s="23"/>
      <c r="J92" s="17"/>
      <c r="K92" s="23"/>
      <c r="L92" s="46" t="s">
        <v>2406</v>
      </c>
      <c r="M92" s="16" t="s">
        <v>67</v>
      </c>
      <c r="N92" s="20" t="s">
        <v>816</v>
      </c>
      <c r="O92" s="16" t="s">
        <v>253</v>
      </c>
      <c r="P92" s="16" t="s">
        <v>987</v>
      </c>
      <c r="Q92" s="16"/>
    </row>
    <row r="93" spans="1:17" ht="15.75" x14ac:dyDescent="0.25">
      <c r="A93" s="122" t="s">
        <v>374</v>
      </c>
      <c r="B93" s="20" t="s">
        <v>758</v>
      </c>
      <c r="C93" s="20" t="s">
        <v>817</v>
      </c>
      <c r="D93" s="20"/>
      <c r="E93" s="16" t="s">
        <v>248</v>
      </c>
      <c r="F93" s="16" t="s">
        <v>269</v>
      </c>
      <c r="G93" s="16" t="s">
        <v>818</v>
      </c>
      <c r="H93" s="18">
        <v>29981478</v>
      </c>
      <c r="I93" s="23"/>
      <c r="J93" s="18">
        <v>55576314</v>
      </c>
      <c r="K93" s="23"/>
      <c r="L93" s="46" t="s">
        <v>2406</v>
      </c>
      <c r="M93" s="16" t="s">
        <v>67</v>
      </c>
      <c r="N93" s="17"/>
      <c r="O93" s="16" t="s">
        <v>253</v>
      </c>
      <c r="P93" s="16" t="s">
        <v>988</v>
      </c>
      <c r="Q93" s="16" t="s">
        <v>819</v>
      </c>
    </row>
    <row r="94" spans="1:17" s="49" customFormat="1" ht="15.75" x14ac:dyDescent="0.25">
      <c r="A94" s="122" t="s">
        <v>375</v>
      </c>
      <c r="B94" s="46" t="s">
        <v>823</v>
      </c>
      <c r="C94" s="46" t="s">
        <v>820</v>
      </c>
      <c r="D94" s="47">
        <v>16589</v>
      </c>
      <c r="E94" s="46" t="s">
        <v>279</v>
      </c>
      <c r="F94" s="46" t="s">
        <v>821</v>
      </c>
      <c r="G94" s="46" t="s">
        <v>822</v>
      </c>
      <c r="H94" s="48">
        <v>20345893</v>
      </c>
      <c r="I94" s="46" t="s">
        <v>1586</v>
      </c>
      <c r="J94" s="48">
        <v>98309696</v>
      </c>
      <c r="K94" s="46" t="s">
        <v>613</v>
      </c>
      <c r="L94" s="46" t="s">
        <v>2410</v>
      </c>
      <c r="M94" s="46" t="s">
        <v>67</v>
      </c>
      <c r="N94" s="46" t="s">
        <v>824</v>
      </c>
      <c r="O94" s="46" t="s">
        <v>253</v>
      </c>
      <c r="P94" s="46" t="s">
        <v>987</v>
      </c>
      <c r="Q94" s="46" t="s">
        <v>2011</v>
      </c>
    </row>
    <row r="95" spans="1:17" s="13" customFormat="1" ht="15.75" x14ac:dyDescent="0.25">
      <c r="A95" s="136" t="s">
        <v>376</v>
      </c>
      <c r="B95" s="25" t="s">
        <v>879</v>
      </c>
      <c r="C95" s="25">
        <v>9345192</v>
      </c>
      <c r="D95" s="25"/>
      <c r="E95" s="25" t="s">
        <v>248</v>
      </c>
      <c r="F95" s="25" t="s">
        <v>285</v>
      </c>
      <c r="G95" s="25" t="s">
        <v>825</v>
      </c>
      <c r="H95" s="26">
        <v>27934971</v>
      </c>
      <c r="I95" s="25"/>
      <c r="J95" s="26">
        <v>20759702</v>
      </c>
      <c r="K95" s="25"/>
      <c r="L95" s="16" t="s">
        <v>2416</v>
      </c>
      <c r="M95" s="25" t="s">
        <v>288</v>
      </c>
      <c r="N95" s="25" t="s">
        <v>881</v>
      </c>
      <c r="O95" s="25" t="s">
        <v>253</v>
      </c>
      <c r="P95" s="25" t="s">
        <v>989</v>
      </c>
      <c r="Q95" s="25" t="s">
        <v>717</v>
      </c>
    </row>
    <row r="96" spans="1:17" s="49" customFormat="1" ht="15.75" x14ac:dyDescent="0.25">
      <c r="A96" s="122" t="s">
        <v>377</v>
      </c>
      <c r="B96" s="46" t="s">
        <v>1794</v>
      </c>
      <c r="C96" s="46" t="s">
        <v>1795</v>
      </c>
      <c r="D96" s="47">
        <v>15971</v>
      </c>
      <c r="E96" s="46" t="s">
        <v>291</v>
      </c>
      <c r="F96" s="46" t="s">
        <v>291</v>
      </c>
      <c r="G96" s="46" t="s">
        <v>1796</v>
      </c>
      <c r="H96" s="48">
        <v>28749304</v>
      </c>
      <c r="I96" s="46" t="s">
        <v>1797</v>
      </c>
      <c r="J96" s="48">
        <v>58687516</v>
      </c>
      <c r="K96" s="46"/>
      <c r="L96" s="16" t="s">
        <v>2422</v>
      </c>
      <c r="M96" s="46" t="s">
        <v>67</v>
      </c>
      <c r="N96" s="46" t="s">
        <v>1798</v>
      </c>
      <c r="O96" s="46" t="s">
        <v>253</v>
      </c>
      <c r="P96" s="46" t="s">
        <v>988</v>
      </c>
      <c r="Q96" s="46" t="s">
        <v>1799</v>
      </c>
    </row>
    <row r="97" spans="1:17" s="49" customFormat="1" ht="15.75" x14ac:dyDescent="0.25">
      <c r="A97" s="122" t="s">
        <v>378</v>
      </c>
      <c r="B97" s="46" t="s">
        <v>759</v>
      </c>
      <c r="C97" s="46" t="s">
        <v>826</v>
      </c>
      <c r="D97" s="47">
        <v>19013</v>
      </c>
      <c r="E97" s="46" t="s">
        <v>248</v>
      </c>
      <c r="F97" s="46" t="s">
        <v>603</v>
      </c>
      <c r="G97" s="46" t="s">
        <v>827</v>
      </c>
      <c r="H97" s="48">
        <v>95871465</v>
      </c>
      <c r="I97" s="48">
        <v>92148086</v>
      </c>
      <c r="J97" s="48">
        <v>24525999</v>
      </c>
      <c r="K97" s="46"/>
      <c r="L97" s="46" t="s">
        <v>2400</v>
      </c>
      <c r="M97" s="46" t="s">
        <v>67</v>
      </c>
      <c r="N97" s="46" t="s">
        <v>1157</v>
      </c>
      <c r="O97" s="46" t="s">
        <v>253</v>
      </c>
      <c r="P97" s="46" t="s">
        <v>987</v>
      </c>
      <c r="Q97" s="46" t="s">
        <v>1179</v>
      </c>
    </row>
    <row r="98" spans="1:17" ht="15.75" x14ac:dyDescent="0.25">
      <c r="A98" s="122" t="s">
        <v>379</v>
      </c>
      <c r="B98" s="20" t="s">
        <v>760</v>
      </c>
      <c r="C98" s="20" t="s">
        <v>787</v>
      </c>
      <c r="D98" s="28">
        <v>18534</v>
      </c>
      <c r="E98" s="16" t="s">
        <v>248</v>
      </c>
      <c r="F98" s="16" t="s">
        <v>285</v>
      </c>
      <c r="G98" s="16" t="s">
        <v>828</v>
      </c>
      <c r="H98" s="18">
        <v>27408004</v>
      </c>
      <c r="I98" s="18" t="s">
        <v>829</v>
      </c>
      <c r="J98" s="35">
        <v>98983319</v>
      </c>
      <c r="K98" s="16" t="s">
        <v>296</v>
      </c>
      <c r="L98" s="20" t="s">
        <v>2412</v>
      </c>
      <c r="M98" s="16" t="s">
        <v>67</v>
      </c>
      <c r="N98" s="20" t="s">
        <v>778</v>
      </c>
      <c r="O98" s="16" t="s">
        <v>253</v>
      </c>
      <c r="P98" s="16" t="s">
        <v>987</v>
      </c>
      <c r="Q98" s="16"/>
    </row>
    <row r="99" spans="1:17" s="49" customFormat="1" ht="15.75" x14ac:dyDescent="0.25">
      <c r="A99" s="122" t="s">
        <v>380</v>
      </c>
      <c r="B99" s="46" t="s">
        <v>761</v>
      </c>
      <c r="C99" s="46" t="s">
        <v>2147</v>
      </c>
      <c r="D99" s="47">
        <v>29118</v>
      </c>
      <c r="E99" s="46" t="s">
        <v>248</v>
      </c>
      <c r="F99" s="46" t="s">
        <v>830</v>
      </c>
      <c r="G99" s="46" t="s">
        <v>2148</v>
      </c>
      <c r="H99" s="48">
        <v>20904688</v>
      </c>
      <c r="I99" s="46"/>
      <c r="J99" s="46"/>
      <c r="K99" s="46"/>
      <c r="L99" s="46" t="s">
        <v>2398</v>
      </c>
      <c r="M99" s="46" t="s">
        <v>67</v>
      </c>
      <c r="N99" s="46" t="s">
        <v>2149</v>
      </c>
      <c r="O99" s="46" t="s">
        <v>253</v>
      </c>
      <c r="P99" s="46" t="s">
        <v>987</v>
      </c>
      <c r="Q99" s="46" t="s">
        <v>2150</v>
      </c>
    </row>
    <row r="100" spans="1:17" s="49" customFormat="1" ht="15.75" x14ac:dyDescent="0.25">
      <c r="A100" s="122" t="s">
        <v>381</v>
      </c>
      <c r="B100" s="46" t="s">
        <v>2369</v>
      </c>
      <c r="C100" s="46" t="s">
        <v>2370</v>
      </c>
      <c r="D100" s="47">
        <v>22201</v>
      </c>
      <c r="E100" s="46" t="s">
        <v>248</v>
      </c>
      <c r="F100" s="46" t="s">
        <v>830</v>
      </c>
      <c r="G100" s="46" t="s">
        <v>2371</v>
      </c>
      <c r="H100" s="48">
        <v>24830680</v>
      </c>
      <c r="I100" s="46" t="s">
        <v>297</v>
      </c>
      <c r="J100" s="48">
        <v>25015770</v>
      </c>
      <c r="K100" s="46">
        <v>55411411</v>
      </c>
      <c r="L100" s="20" t="s">
        <v>2412</v>
      </c>
      <c r="M100" s="46" t="s">
        <v>67</v>
      </c>
      <c r="N100" s="46" t="s">
        <v>2372</v>
      </c>
      <c r="O100" s="46" t="s">
        <v>253</v>
      </c>
      <c r="P100" s="46" t="s">
        <v>988</v>
      </c>
      <c r="Q100" s="46" t="s">
        <v>2373</v>
      </c>
    </row>
    <row r="101" spans="1:17" s="49" customFormat="1" ht="15.75" x14ac:dyDescent="0.25">
      <c r="A101" s="122" t="s">
        <v>382</v>
      </c>
      <c r="B101" s="46" t="s">
        <v>762</v>
      </c>
      <c r="C101" s="46" t="s">
        <v>788</v>
      </c>
      <c r="D101" s="47">
        <v>18436</v>
      </c>
      <c r="E101" s="46" t="s">
        <v>248</v>
      </c>
      <c r="F101" s="46" t="s">
        <v>269</v>
      </c>
      <c r="G101" s="46" t="s">
        <v>2451</v>
      </c>
      <c r="H101" s="48">
        <v>22858622</v>
      </c>
      <c r="I101" s="46" t="s">
        <v>832</v>
      </c>
      <c r="J101" s="48">
        <v>50333466</v>
      </c>
      <c r="K101" s="46" t="s">
        <v>831</v>
      </c>
      <c r="L101" s="46" t="s">
        <v>2412</v>
      </c>
      <c r="M101" s="46" t="s">
        <v>67</v>
      </c>
      <c r="N101" s="46" t="s">
        <v>2452</v>
      </c>
      <c r="O101" s="46" t="s">
        <v>253</v>
      </c>
      <c r="P101" s="46" t="s">
        <v>988</v>
      </c>
      <c r="Q101" s="46" t="s">
        <v>2453</v>
      </c>
    </row>
    <row r="102" spans="1:17" ht="15.75" x14ac:dyDescent="0.25">
      <c r="A102" s="124" t="s">
        <v>383</v>
      </c>
      <c r="B102" s="135" t="s">
        <v>763</v>
      </c>
      <c r="C102" s="20" t="s">
        <v>789</v>
      </c>
      <c r="D102" s="28">
        <v>16490</v>
      </c>
      <c r="E102" s="16" t="s">
        <v>248</v>
      </c>
      <c r="F102" s="16" t="s">
        <v>696</v>
      </c>
      <c r="G102" s="16" t="s">
        <v>833</v>
      </c>
      <c r="H102" s="18">
        <v>53010877</v>
      </c>
      <c r="I102" s="23"/>
      <c r="J102" s="18">
        <v>54577876</v>
      </c>
      <c r="K102" s="23"/>
      <c r="L102" s="46" t="s">
        <v>2406</v>
      </c>
      <c r="M102" s="16" t="s">
        <v>67</v>
      </c>
      <c r="N102" s="20" t="s">
        <v>834</v>
      </c>
      <c r="O102" s="29" t="s">
        <v>671</v>
      </c>
      <c r="P102" s="20" t="s">
        <v>988</v>
      </c>
      <c r="Q102" s="16"/>
    </row>
    <row r="103" spans="1:17" ht="15.75" x14ac:dyDescent="0.25">
      <c r="A103" s="122" t="s">
        <v>384</v>
      </c>
      <c r="B103" s="20" t="s">
        <v>835</v>
      </c>
      <c r="C103" s="20" t="s">
        <v>2317</v>
      </c>
      <c r="D103" s="28">
        <v>19465</v>
      </c>
      <c r="E103" s="16" t="s">
        <v>248</v>
      </c>
      <c r="F103" s="16" t="s">
        <v>830</v>
      </c>
      <c r="G103" s="16" t="s">
        <v>2318</v>
      </c>
      <c r="H103" s="18">
        <v>95033994</v>
      </c>
      <c r="I103" s="23"/>
      <c r="J103" s="18">
        <v>93846519</v>
      </c>
      <c r="K103" s="23"/>
      <c r="L103" s="16" t="s">
        <v>2416</v>
      </c>
      <c r="M103" s="16" t="s">
        <v>67</v>
      </c>
      <c r="N103" s="28" t="s">
        <v>779</v>
      </c>
      <c r="O103" s="16" t="s">
        <v>253</v>
      </c>
      <c r="P103" s="16" t="s">
        <v>987</v>
      </c>
      <c r="Q103" s="16" t="s">
        <v>2319</v>
      </c>
    </row>
    <row r="104" spans="1:17" ht="15.75" x14ac:dyDescent="0.25">
      <c r="A104" s="122" t="s">
        <v>385</v>
      </c>
      <c r="B104" s="20" t="s">
        <v>764</v>
      </c>
      <c r="C104" s="20" t="s">
        <v>836</v>
      </c>
      <c r="D104" s="28">
        <v>20188</v>
      </c>
      <c r="E104" s="16" t="s">
        <v>870</v>
      </c>
      <c r="F104" s="16" t="s">
        <v>659</v>
      </c>
      <c r="G104" s="16" t="s">
        <v>659</v>
      </c>
      <c r="H104" s="18" t="s">
        <v>954</v>
      </c>
      <c r="I104" s="18" t="s">
        <v>955</v>
      </c>
      <c r="J104" s="18">
        <v>22816831</v>
      </c>
      <c r="K104" s="23"/>
      <c r="L104" s="16" t="s">
        <v>2417</v>
      </c>
      <c r="M104" s="16" t="s">
        <v>67</v>
      </c>
      <c r="N104" s="20" t="s">
        <v>956</v>
      </c>
      <c r="O104" s="16" t="s">
        <v>253</v>
      </c>
      <c r="P104" s="16" t="s">
        <v>921</v>
      </c>
      <c r="Q104" s="16" t="s">
        <v>957</v>
      </c>
    </row>
    <row r="105" spans="1:17" ht="15.75" x14ac:dyDescent="0.25">
      <c r="A105" s="122" t="s">
        <v>386</v>
      </c>
      <c r="B105" s="20" t="s">
        <v>765</v>
      </c>
      <c r="C105" s="20" t="s">
        <v>837</v>
      </c>
      <c r="D105" s="20"/>
      <c r="E105" s="16" t="s">
        <v>248</v>
      </c>
      <c r="F105" s="16" t="s">
        <v>285</v>
      </c>
      <c r="G105" s="16" t="s">
        <v>285</v>
      </c>
      <c r="H105" s="18">
        <v>98983440</v>
      </c>
      <c r="I105" s="23"/>
      <c r="J105" s="18">
        <v>54623580</v>
      </c>
      <c r="K105" s="23"/>
      <c r="L105" s="16" t="s">
        <v>2404</v>
      </c>
      <c r="M105" s="16" t="s">
        <v>67</v>
      </c>
      <c r="N105" s="20" t="s">
        <v>838</v>
      </c>
      <c r="O105" s="16" t="s">
        <v>253</v>
      </c>
      <c r="P105" s="16" t="s">
        <v>987</v>
      </c>
      <c r="Q105" s="16" t="s">
        <v>856</v>
      </c>
    </row>
    <row r="106" spans="1:17" s="49" customFormat="1" ht="15.75" x14ac:dyDescent="0.25">
      <c r="A106" s="122" t="s">
        <v>387</v>
      </c>
      <c r="B106" s="46" t="s">
        <v>804</v>
      </c>
      <c r="C106" s="46" t="s">
        <v>805</v>
      </c>
      <c r="D106" s="47">
        <v>13906</v>
      </c>
      <c r="E106" s="46" t="s">
        <v>248</v>
      </c>
      <c r="F106" s="46" t="s">
        <v>248</v>
      </c>
      <c r="G106" s="46" t="s">
        <v>850</v>
      </c>
      <c r="H106" s="88">
        <v>98202661</v>
      </c>
      <c r="I106" s="48"/>
      <c r="J106" s="48">
        <v>20974257</v>
      </c>
      <c r="K106" s="46"/>
      <c r="L106" s="20" t="s">
        <v>2412</v>
      </c>
      <c r="M106" s="46" t="s">
        <v>67</v>
      </c>
      <c r="N106" s="46" t="s">
        <v>2077</v>
      </c>
      <c r="O106" s="46" t="s">
        <v>253</v>
      </c>
      <c r="P106" s="46" t="s">
        <v>988</v>
      </c>
      <c r="Q106" s="46" t="s">
        <v>2078</v>
      </c>
    </row>
    <row r="107" spans="1:17" ht="15.75" x14ac:dyDescent="0.25">
      <c r="A107" s="122" t="s">
        <v>388</v>
      </c>
      <c r="B107" s="20" t="s">
        <v>766</v>
      </c>
      <c r="C107" s="20" t="s">
        <v>790</v>
      </c>
      <c r="D107" s="28">
        <v>20591</v>
      </c>
      <c r="E107" s="16" t="s">
        <v>248</v>
      </c>
      <c r="F107" s="16" t="s">
        <v>603</v>
      </c>
      <c r="G107" s="16" t="s">
        <v>839</v>
      </c>
      <c r="H107" s="18">
        <v>26593197</v>
      </c>
      <c r="I107" s="23"/>
      <c r="J107" s="18">
        <v>22091260</v>
      </c>
      <c r="K107" s="23"/>
      <c r="L107" s="20" t="s">
        <v>2412</v>
      </c>
      <c r="M107" s="16" t="s">
        <v>67</v>
      </c>
      <c r="N107" s="20" t="s">
        <v>780</v>
      </c>
      <c r="O107" s="16" t="s">
        <v>253</v>
      </c>
      <c r="P107" s="16" t="s">
        <v>988</v>
      </c>
      <c r="Q107" s="16" t="s">
        <v>854</v>
      </c>
    </row>
    <row r="108" spans="1:17" ht="15.75" x14ac:dyDescent="0.25">
      <c r="A108" s="137" t="s">
        <v>389</v>
      </c>
      <c r="B108" s="20" t="s">
        <v>767</v>
      </c>
      <c r="C108" s="20" t="s">
        <v>840</v>
      </c>
      <c r="D108" s="28">
        <v>19809</v>
      </c>
      <c r="E108" s="16" t="s">
        <v>870</v>
      </c>
      <c r="F108" s="16" t="s">
        <v>841</v>
      </c>
      <c r="G108" s="16" t="s">
        <v>841</v>
      </c>
      <c r="H108" s="18">
        <v>25454637</v>
      </c>
      <c r="I108" s="20" t="s">
        <v>928</v>
      </c>
      <c r="J108" s="18">
        <v>21117640</v>
      </c>
      <c r="K108" s="20" t="s">
        <v>958</v>
      </c>
      <c r="L108" s="16" t="s">
        <v>2417</v>
      </c>
      <c r="M108" s="16" t="s">
        <v>67</v>
      </c>
      <c r="N108" s="20" t="s">
        <v>959</v>
      </c>
      <c r="O108" s="16" t="s">
        <v>253</v>
      </c>
      <c r="P108" s="16" t="s">
        <v>921</v>
      </c>
      <c r="Q108" s="16" t="s">
        <v>960</v>
      </c>
    </row>
    <row r="109" spans="1:17" ht="15.75" x14ac:dyDescent="0.25">
      <c r="A109" s="137" t="s">
        <v>390</v>
      </c>
      <c r="B109" s="20" t="s">
        <v>768</v>
      </c>
      <c r="C109" s="20" t="s">
        <v>842</v>
      </c>
      <c r="D109" s="28">
        <v>23439</v>
      </c>
      <c r="E109" s="16" t="s">
        <v>870</v>
      </c>
      <c r="F109" s="16" t="s">
        <v>870</v>
      </c>
      <c r="G109" s="16" t="s">
        <v>843</v>
      </c>
      <c r="H109" s="18">
        <v>27516944</v>
      </c>
      <c r="I109" s="20" t="s">
        <v>928</v>
      </c>
      <c r="J109" s="18">
        <v>51977622</v>
      </c>
      <c r="K109" s="20" t="s">
        <v>853</v>
      </c>
      <c r="L109" s="16" t="s">
        <v>2417</v>
      </c>
      <c r="M109" s="16" t="s">
        <v>67</v>
      </c>
      <c r="N109" s="20" t="s">
        <v>781</v>
      </c>
      <c r="O109" s="16" t="s">
        <v>253</v>
      </c>
      <c r="P109" s="16" t="s">
        <v>921</v>
      </c>
      <c r="Q109" s="16" t="s">
        <v>961</v>
      </c>
    </row>
    <row r="110" spans="1:17" ht="15.75" x14ac:dyDescent="0.25">
      <c r="A110" s="137" t="s">
        <v>391</v>
      </c>
      <c r="B110" s="20" t="s">
        <v>769</v>
      </c>
      <c r="C110" s="20" t="s">
        <v>844</v>
      </c>
      <c r="D110" s="20">
        <v>1952</v>
      </c>
      <c r="E110" s="16" t="s">
        <v>870</v>
      </c>
      <c r="F110" s="16" t="s">
        <v>703</v>
      </c>
      <c r="G110" s="16" t="s">
        <v>974</v>
      </c>
      <c r="H110" s="18">
        <v>26900213</v>
      </c>
      <c r="I110" s="20" t="s">
        <v>297</v>
      </c>
      <c r="J110" s="18">
        <v>29547294</v>
      </c>
      <c r="K110" s="20" t="s">
        <v>853</v>
      </c>
      <c r="L110" s="20" t="s">
        <v>2403</v>
      </c>
      <c r="M110" s="16" t="s">
        <v>67</v>
      </c>
      <c r="N110" s="20" t="s">
        <v>782</v>
      </c>
      <c r="O110" s="16" t="s">
        <v>253</v>
      </c>
      <c r="P110" s="16" t="s">
        <v>921</v>
      </c>
      <c r="Q110" s="16" t="s">
        <v>975</v>
      </c>
    </row>
    <row r="111" spans="1:17" s="49" customFormat="1" ht="15.75" x14ac:dyDescent="0.25">
      <c r="A111" s="122" t="s">
        <v>392</v>
      </c>
      <c r="B111" s="46" t="s">
        <v>858</v>
      </c>
      <c r="C111" s="46" t="s">
        <v>860</v>
      </c>
      <c r="D111" s="47">
        <v>38487</v>
      </c>
      <c r="E111" s="46" t="s">
        <v>248</v>
      </c>
      <c r="F111" s="46" t="s">
        <v>248</v>
      </c>
      <c r="G111" s="46" t="s">
        <v>859</v>
      </c>
      <c r="H111" s="48" t="s">
        <v>2383</v>
      </c>
      <c r="I111" s="48">
        <v>95956734</v>
      </c>
      <c r="J111" s="48">
        <v>92351421</v>
      </c>
      <c r="K111" s="46"/>
      <c r="L111" s="16" t="s">
        <v>2416</v>
      </c>
      <c r="M111" s="46" t="s">
        <v>67</v>
      </c>
      <c r="N111" s="46" t="s">
        <v>861</v>
      </c>
      <c r="O111" s="46" t="s">
        <v>253</v>
      </c>
      <c r="P111" s="46" t="s">
        <v>988</v>
      </c>
      <c r="Q111" s="46" t="s">
        <v>2384</v>
      </c>
    </row>
    <row r="112" spans="1:17" s="49" customFormat="1" ht="15.75" x14ac:dyDescent="0.25">
      <c r="A112" s="138" t="s">
        <v>393</v>
      </c>
      <c r="B112" s="46" t="s">
        <v>770</v>
      </c>
      <c r="C112" s="46" t="s">
        <v>2081</v>
      </c>
      <c r="D112" s="47">
        <v>15219</v>
      </c>
      <c r="E112" s="46" t="s">
        <v>248</v>
      </c>
      <c r="F112" s="46" t="s">
        <v>281</v>
      </c>
      <c r="G112" s="46" t="s">
        <v>2082</v>
      </c>
      <c r="H112" s="48">
        <v>98622453</v>
      </c>
      <c r="I112" s="48" t="s">
        <v>882</v>
      </c>
      <c r="J112" s="48">
        <v>21881061</v>
      </c>
      <c r="K112" s="46" t="s">
        <v>882</v>
      </c>
      <c r="L112" s="46" t="s">
        <v>2406</v>
      </c>
      <c r="M112" s="46" t="s">
        <v>67</v>
      </c>
      <c r="N112" s="46" t="s">
        <v>2083</v>
      </c>
      <c r="O112" s="46" t="s">
        <v>253</v>
      </c>
      <c r="P112" s="46" t="s">
        <v>988</v>
      </c>
      <c r="Q112" s="46" t="s">
        <v>2085</v>
      </c>
    </row>
    <row r="113" spans="1:90" ht="15.75" x14ac:dyDescent="0.25">
      <c r="A113" s="122" t="s">
        <v>394</v>
      </c>
      <c r="B113" s="20" t="s">
        <v>771</v>
      </c>
      <c r="C113" s="20" t="s">
        <v>862</v>
      </c>
      <c r="D113" s="28">
        <v>21823</v>
      </c>
      <c r="E113" s="16" t="s">
        <v>248</v>
      </c>
      <c r="F113" s="16" t="s">
        <v>285</v>
      </c>
      <c r="G113" s="16" t="s">
        <v>845</v>
      </c>
      <c r="H113" s="18">
        <v>24581999</v>
      </c>
      <c r="I113" s="20" t="s">
        <v>1977</v>
      </c>
      <c r="J113" s="18">
        <v>20801569</v>
      </c>
      <c r="K113" s="20" t="s">
        <v>1976</v>
      </c>
      <c r="L113" s="16" t="s">
        <v>2415</v>
      </c>
      <c r="M113" s="16" t="s">
        <v>67</v>
      </c>
      <c r="N113" s="20" t="s">
        <v>1978</v>
      </c>
      <c r="O113" s="16" t="s">
        <v>253</v>
      </c>
      <c r="P113" s="16" t="s">
        <v>987</v>
      </c>
      <c r="Q113" s="16"/>
    </row>
    <row r="114" spans="1:90" s="14" customFormat="1" ht="15.75" x14ac:dyDescent="0.25">
      <c r="A114" s="122" t="s">
        <v>395</v>
      </c>
      <c r="B114" s="20" t="s">
        <v>892</v>
      </c>
      <c r="C114" s="20" t="s">
        <v>863</v>
      </c>
      <c r="D114" s="28">
        <v>18963</v>
      </c>
      <c r="E114" s="20" t="s">
        <v>248</v>
      </c>
      <c r="F114" s="20" t="s">
        <v>285</v>
      </c>
      <c r="G114" s="20" t="s">
        <v>846</v>
      </c>
      <c r="H114" s="31">
        <v>96013266</v>
      </c>
      <c r="I114" s="20"/>
      <c r="J114" s="20"/>
      <c r="K114" s="20"/>
      <c r="L114" s="16" t="s">
        <v>2415</v>
      </c>
      <c r="M114" s="20" t="s">
        <v>67</v>
      </c>
      <c r="N114" s="20" t="s">
        <v>891</v>
      </c>
      <c r="O114" s="20" t="s">
        <v>253</v>
      </c>
      <c r="P114" s="20" t="s">
        <v>987</v>
      </c>
      <c r="Q114" s="22" t="s">
        <v>890</v>
      </c>
    </row>
    <row r="115" spans="1:90" s="43" customFormat="1" ht="15.75" x14ac:dyDescent="0.25">
      <c r="A115" s="138" t="s">
        <v>396</v>
      </c>
      <c r="B115" s="59" t="s">
        <v>1584</v>
      </c>
      <c r="C115" s="59" t="s">
        <v>984</v>
      </c>
      <c r="D115" s="60">
        <v>15172</v>
      </c>
      <c r="E115" s="59" t="s">
        <v>248</v>
      </c>
      <c r="F115" s="59" t="s">
        <v>1549</v>
      </c>
      <c r="G115" s="59" t="s">
        <v>285</v>
      </c>
      <c r="H115" s="61">
        <v>28468000</v>
      </c>
      <c r="I115" s="59" t="s">
        <v>1550</v>
      </c>
      <c r="J115" s="59"/>
      <c r="K115" s="59"/>
      <c r="L115" s="25" t="s">
        <v>984</v>
      </c>
      <c r="M115" s="59" t="s">
        <v>984</v>
      </c>
      <c r="N115" s="59" t="s">
        <v>984</v>
      </c>
      <c r="O115" s="59" t="s">
        <v>253</v>
      </c>
      <c r="P115" s="59" t="s">
        <v>987</v>
      </c>
      <c r="Q115" s="59" t="s">
        <v>1585</v>
      </c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</row>
    <row r="116" spans="1:90" ht="15.75" x14ac:dyDescent="0.25">
      <c r="A116" s="124" t="s">
        <v>397</v>
      </c>
      <c r="B116" s="135" t="s">
        <v>772</v>
      </c>
      <c r="C116" s="20" t="s">
        <v>864</v>
      </c>
      <c r="D116" s="28">
        <v>14573</v>
      </c>
      <c r="E116" s="16" t="s">
        <v>248</v>
      </c>
      <c r="F116" s="16" t="s">
        <v>678</v>
      </c>
      <c r="G116" s="16" t="s">
        <v>847</v>
      </c>
      <c r="H116" s="18">
        <v>54099616</v>
      </c>
      <c r="I116" s="23"/>
      <c r="J116" s="18">
        <v>98563081</v>
      </c>
      <c r="K116" s="23"/>
      <c r="L116" s="46" t="s">
        <v>2399</v>
      </c>
      <c r="M116" s="16" t="s">
        <v>626</v>
      </c>
      <c r="N116" s="17"/>
      <c r="O116" s="29" t="s">
        <v>671</v>
      </c>
      <c r="P116" s="20" t="s">
        <v>988</v>
      </c>
      <c r="Q116" s="16"/>
    </row>
    <row r="117" spans="1:90" ht="15.75" x14ac:dyDescent="0.25">
      <c r="A117" s="124" t="s">
        <v>398</v>
      </c>
      <c r="B117" s="135" t="s">
        <v>851</v>
      </c>
      <c r="C117" s="20"/>
      <c r="D117" s="28"/>
      <c r="E117" s="16" t="s">
        <v>248</v>
      </c>
      <c r="F117" s="16" t="s">
        <v>285</v>
      </c>
      <c r="G117" s="16" t="s">
        <v>852</v>
      </c>
      <c r="H117" s="18">
        <v>22834372</v>
      </c>
      <c r="I117" s="16" t="s">
        <v>883</v>
      </c>
      <c r="J117" s="18">
        <v>97456126</v>
      </c>
      <c r="K117" s="16" t="s">
        <v>882</v>
      </c>
      <c r="L117" s="16" t="s">
        <v>2405</v>
      </c>
      <c r="M117" s="16" t="s">
        <v>626</v>
      </c>
      <c r="N117" s="16"/>
      <c r="O117" s="29" t="s">
        <v>671</v>
      </c>
      <c r="P117" s="16" t="s">
        <v>987</v>
      </c>
      <c r="Q117" s="16" t="s">
        <v>1107</v>
      </c>
    </row>
    <row r="118" spans="1:90" s="14" customFormat="1" ht="15.75" x14ac:dyDescent="0.25">
      <c r="A118" s="124" t="s">
        <v>399</v>
      </c>
      <c r="B118" s="135" t="s">
        <v>893</v>
      </c>
      <c r="C118" s="20" t="s">
        <v>894</v>
      </c>
      <c r="D118" s="28">
        <v>30940</v>
      </c>
      <c r="E118" s="20" t="s">
        <v>248</v>
      </c>
      <c r="F118" s="20" t="s">
        <v>261</v>
      </c>
      <c r="G118" s="20" t="s">
        <v>261</v>
      </c>
      <c r="H118" s="31">
        <v>96118412</v>
      </c>
      <c r="I118" s="20"/>
      <c r="J118" s="31">
        <v>99208146</v>
      </c>
      <c r="K118" s="20"/>
      <c r="L118" s="16" t="s">
        <v>2407</v>
      </c>
      <c r="M118" s="20" t="s">
        <v>67</v>
      </c>
      <c r="N118" s="20" t="s">
        <v>895</v>
      </c>
      <c r="O118" s="29" t="s">
        <v>671</v>
      </c>
      <c r="P118" s="20" t="s">
        <v>987</v>
      </c>
      <c r="Q118" s="20" t="s">
        <v>896</v>
      </c>
    </row>
    <row r="119" spans="1:90" ht="15.75" x14ac:dyDescent="0.25">
      <c r="A119" s="122" t="s">
        <v>400</v>
      </c>
      <c r="B119" s="16" t="s">
        <v>917</v>
      </c>
      <c r="C119" s="16" t="s">
        <v>943</v>
      </c>
      <c r="D119" s="16"/>
      <c r="E119" s="16" t="s">
        <v>870</v>
      </c>
      <c r="F119" s="16" t="s">
        <v>659</v>
      </c>
      <c r="G119" s="16" t="s">
        <v>659</v>
      </c>
      <c r="H119" s="18">
        <v>27036817</v>
      </c>
      <c r="I119" s="16" t="s">
        <v>928</v>
      </c>
      <c r="J119" s="16">
        <v>21347385</v>
      </c>
      <c r="K119" s="16" t="s">
        <v>613</v>
      </c>
      <c r="L119" s="16" t="s">
        <v>2417</v>
      </c>
      <c r="M119" s="16" t="s">
        <v>67</v>
      </c>
      <c r="N119" s="16" t="s">
        <v>935</v>
      </c>
      <c r="O119" s="16" t="s">
        <v>253</v>
      </c>
      <c r="P119" s="16" t="s">
        <v>921</v>
      </c>
      <c r="Q119" s="16" t="s">
        <v>2236</v>
      </c>
    </row>
    <row r="120" spans="1:90" ht="15.75" x14ac:dyDescent="0.25">
      <c r="A120" s="122" t="s">
        <v>401</v>
      </c>
      <c r="B120" s="16" t="s">
        <v>919</v>
      </c>
      <c r="C120" s="16" t="s">
        <v>966</v>
      </c>
      <c r="D120" s="24">
        <v>24857</v>
      </c>
      <c r="E120" s="16" t="s">
        <v>870</v>
      </c>
      <c r="F120" s="16" t="s">
        <v>659</v>
      </c>
      <c r="G120" s="16" t="s">
        <v>659</v>
      </c>
      <c r="H120" s="18">
        <v>24133957</v>
      </c>
      <c r="I120" s="16" t="s">
        <v>853</v>
      </c>
      <c r="J120" s="16"/>
      <c r="K120" s="16"/>
      <c r="L120" s="16" t="s">
        <v>2417</v>
      </c>
      <c r="M120" s="16" t="s">
        <v>67</v>
      </c>
      <c r="N120" s="16" t="s">
        <v>967</v>
      </c>
      <c r="O120" s="16" t="s">
        <v>253</v>
      </c>
      <c r="P120" s="16" t="s">
        <v>921</v>
      </c>
      <c r="Q120" s="16" t="s">
        <v>2247</v>
      </c>
    </row>
    <row r="121" spans="1:90" ht="15.75" x14ac:dyDescent="0.25">
      <c r="A121" s="122" t="s">
        <v>402</v>
      </c>
      <c r="B121" s="16" t="s">
        <v>920</v>
      </c>
      <c r="C121" s="16" t="s">
        <v>941</v>
      </c>
      <c r="D121" s="24">
        <v>18630</v>
      </c>
      <c r="E121" s="16" t="s">
        <v>870</v>
      </c>
      <c r="F121" s="16" t="s">
        <v>659</v>
      </c>
      <c r="G121" s="16" t="s">
        <v>659</v>
      </c>
      <c r="H121" s="18">
        <v>29966703</v>
      </c>
      <c r="I121" s="16" t="s">
        <v>297</v>
      </c>
      <c r="J121" s="16"/>
      <c r="K121" s="16"/>
      <c r="L121" s="16" t="s">
        <v>2417</v>
      </c>
      <c r="M121" s="16" t="s">
        <v>67</v>
      </c>
      <c r="N121" s="16" t="s">
        <v>942</v>
      </c>
      <c r="O121" s="16" t="s">
        <v>253</v>
      </c>
      <c r="P121" s="16" t="s">
        <v>921</v>
      </c>
      <c r="Q121" s="16" t="s">
        <v>2248</v>
      </c>
    </row>
    <row r="122" spans="1:90" ht="15.75" x14ac:dyDescent="0.25">
      <c r="A122" s="122" t="s">
        <v>403</v>
      </c>
      <c r="B122" s="16" t="s">
        <v>924</v>
      </c>
      <c r="C122" s="16" t="s">
        <v>925</v>
      </c>
      <c r="D122" s="16"/>
      <c r="E122" s="16" t="s">
        <v>870</v>
      </c>
      <c r="F122" s="16" t="s">
        <v>926</v>
      </c>
      <c r="G122" s="16" t="s">
        <v>927</v>
      </c>
      <c r="H122" s="18">
        <v>22707984</v>
      </c>
      <c r="I122" s="16" t="s">
        <v>928</v>
      </c>
      <c r="J122" s="16">
        <v>24207495</v>
      </c>
      <c r="K122" s="16" t="s">
        <v>613</v>
      </c>
      <c r="L122" s="16" t="s">
        <v>2417</v>
      </c>
      <c r="M122" s="16" t="s">
        <v>67</v>
      </c>
      <c r="N122" s="16" t="s">
        <v>929</v>
      </c>
      <c r="O122" s="16" t="s">
        <v>253</v>
      </c>
      <c r="P122" s="16" t="s">
        <v>921</v>
      </c>
      <c r="Q122" s="16" t="s">
        <v>2249</v>
      </c>
    </row>
    <row r="123" spans="1:90" ht="15.75" x14ac:dyDescent="0.25">
      <c r="A123" s="122" t="s">
        <v>404</v>
      </c>
      <c r="B123" s="16" t="s">
        <v>930</v>
      </c>
      <c r="C123" s="16" t="s">
        <v>931</v>
      </c>
      <c r="D123" s="16"/>
      <c r="E123" s="16" t="s">
        <v>870</v>
      </c>
      <c r="F123" s="16" t="s">
        <v>932</v>
      </c>
      <c r="G123" s="16" t="s">
        <v>933</v>
      </c>
      <c r="H123" s="18">
        <v>52926005</v>
      </c>
      <c r="I123" s="16" t="s">
        <v>853</v>
      </c>
      <c r="J123" s="16"/>
      <c r="K123" s="16"/>
      <c r="L123" s="16" t="s">
        <v>2417</v>
      </c>
      <c r="M123" s="16" t="s">
        <v>67</v>
      </c>
      <c r="N123" s="16" t="s">
        <v>934</v>
      </c>
      <c r="O123" s="16" t="s">
        <v>253</v>
      </c>
      <c r="P123" s="16" t="s">
        <v>921</v>
      </c>
      <c r="Q123" s="16" t="s">
        <v>2265</v>
      </c>
    </row>
    <row r="124" spans="1:90" ht="15.75" x14ac:dyDescent="0.25">
      <c r="A124" s="122" t="s">
        <v>405</v>
      </c>
      <c r="B124" s="16" t="s">
        <v>936</v>
      </c>
      <c r="C124" s="16" t="s">
        <v>937</v>
      </c>
      <c r="D124" s="24">
        <v>26773</v>
      </c>
      <c r="E124" s="16" t="s">
        <v>870</v>
      </c>
      <c r="F124" s="16" t="s">
        <v>938</v>
      </c>
      <c r="G124" s="16" t="s">
        <v>939</v>
      </c>
      <c r="H124" s="16">
        <v>21660520</v>
      </c>
      <c r="I124" s="16" t="s">
        <v>928</v>
      </c>
      <c r="J124" s="16"/>
      <c r="K124" s="16"/>
      <c r="L124" s="16" t="s">
        <v>2417</v>
      </c>
      <c r="M124" s="16" t="s">
        <v>67</v>
      </c>
      <c r="N124" s="16" t="s">
        <v>940</v>
      </c>
      <c r="O124" s="16" t="s">
        <v>253</v>
      </c>
      <c r="P124" s="16" t="s">
        <v>921</v>
      </c>
      <c r="Q124" s="16" t="s">
        <v>2264</v>
      </c>
    </row>
    <row r="125" spans="1:90" ht="15.75" x14ac:dyDescent="0.25">
      <c r="A125" s="122" t="s">
        <v>406</v>
      </c>
      <c r="B125" s="16" t="s">
        <v>944</v>
      </c>
      <c r="C125" s="16" t="s">
        <v>945</v>
      </c>
      <c r="D125" s="24">
        <v>20001</v>
      </c>
      <c r="E125" s="16" t="s">
        <v>946</v>
      </c>
      <c r="F125" s="16" t="s">
        <v>659</v>
      </c>
      <c r="G125" s="16" t="s">
        <v>659</v>
      </c>
      <c r="H125" s="18">
        <v>56318415</v>
      </c>
      <c r="I125" s="16" t="s">
        <v>297</v>
      </c>
      <c r="J125" s="16"/>
      <c r="K125" s="16"/>
      <c r="L125" s="16" t="s">
        <v>2417</v>
      </c>
      <c r="M125" s="16" t="s">
        <v>947</v>
      </c>
      <c r="N125" s="16" t="s">
        <v>948</v>
      </c>
      <c r="O125" s="16" t="s">
        <v>253</v>
      </c>
      <c r="P125" s="16" t="s">
        <v>921</v>
      </c>
      <c r="Q125" s="16" t="s">
        <v>2263</v>
      </c>
    </row>
    <row r="126" spans="1:90" ht="15.75" x14ac:dyDescent="0.25">
      <c r="A126" s="122" t="s">
        <v>407</v>
      </c>
      <c r="B126" s="16" t="s">
        <v>949</v>
      </c>
      <c r="C126" s="16" t="s">
        <v>950</v>
      </c>
      <c r="D126" s="24">
        <v>16802</v>
      </c>
      <c r="E126" s="16" t="s">
        <v>870</v>
      </c>
      <c r="F126" s="16" t="s">
        <v>659</v>
      </c>
      <c r="G126" s="16" t="s">
        <v>659</v>
      </c>
      <c r="H126" s="18">
        <v>26065887</v>
      </c>
      <c r="I126" s="16" t="s">
        <v>853</v>
      </c>
      <c r="J126" s="16">
        <v>93470714</v>
      </c>
      <c r="K126" s="16" t="s">
        <v>853</v>
      </c>
      <c r="L126" s="16" t="s">
        <v>2417</v>
      </c>
      <c r="M126" s="16" t="s">
        <v>67</v>
      </c>
      <c r="N126" s="16" t="s">
        <v>951</v>
      </c>
      <c r="O126" s="16" t="s">
        <v>253</v>
      </c>
      <c r="P126" s="16" t="s">
        <v>921</v>
      </c>
      <c r="Q126" s="16" t="s">
        <v>2268</v>
      </c>
    </row>
    <row r="127" spans="1:90" ht="15.75" x14ac:dyDescent="0.25">
      <c r="A127" s="122" t="s">
        <v>408</v>
      </c>
      <c r="B127" s="16" t="s">
        <v>2284</v>
      </c>
      <c r="C127" s="16" t="s">
        <v>952</v>
      </c>
      <c r="D127" s="24">
        <v>22199</v>
      </c>
      <c r="E127" s="16" t="s">
        <v>870</v>
      </c>
      <c r="F127" s="16" t="s">
        <v>659</v>
      </c>
      <c r="G127" s="16" t="s">
        <v>659</v>
      </c>
      <c r="H127" s="18">
        <v>27791961</v>
      </c>
      <c r="I127" s="16" t="s">
        <v>853</v>
      </c>
      <c r="J127" s="16">
        <v>29084435</v>
      </c>
      <c r="K127" s="16" t="s">
        <v>928</v>
      </c>
      <c r="L127" s="20" t="s">
        <v>2414</v>
      </c>
      <c r="M127" s="16" t="s">
        <v>67</v>
      </c>
      <c r="N127" s="16" t="s">
        <v>953</v>
      </c>
      <c r="O127" s="16" t="s">
        <v>253</v>
      </c>
      <c r="P127" s="16" t="s">
        <v>921</v>
      </c>
      <c r="Q127" s="16" t="s">
        <v>2283</v>
      </c>
    </row>
    <row r="128" spans="1:90" ht="15.75" x14ac:dyDescent="0.25">
      <c r="A128" s="122" t="s">
        <v>409</v>
      </c>
      <c r="B128" s="16" t="s">
        <v>962</v>
      </c>
      <c r="C128" s="16" t="s">
        <v>963</v>
      </c>
      <c r="D128" s="16"/>
      <c r="E128" s="16" t="s">
        <v>946</v>
      </c>
      <c r="F128" s="16" t="s">
        <v>841</v>
      </c>
      <c r="G128" s="16" t="s">
        <v>964</v>
      </c>
      <c r="H128" s="18">
        <v>90474505</v>
      </c>
      <c r="I128" s="16" t="s">
        <v>853</v>
      </c>
      <c r="J128" s="16"/>
      <c r="K128" s="16"/>
      <c r="L128" s="16" t="s">
        <v>2417</v>
      </c>
      <c r="M128" s="16" t="s">
        <v>67</v>
      </c>
      <c r="N128" s="16" t="s">
        <v>965</v>
      </c>
      <c r="O128" s="16" t="s">
        <v>253</v>
      </c>
      <c r="P128" s="16" t="s">
        <v>921</v>
      </c>
      <c r="Q128" s="16" t="s">
        <v>2285</v>
      </c>
    </row>
    <row r="129" spans="1:17" ht="15.75" x14ac:dyDescent="0.25">
      <c r="A129" s="122" t="s">
        <v>410</v>
      </c>
      <c r="B129" s="16" t="s">
        <v>968</v>
      </c>
      <c r="C129" s="16" t="s">
        <v>969</v>
      </c>
      <c r="D129" s="16" t="s">
        <v>970</v>
      </c>
      <c r="E129" s="16" t="s">
        <v>685</v>
      </c>
      <c r="F129" s="16" t="s">
        <v>971</v>
      </c>
      <c r="G129" s="16" t="s">
        <v>972</v>
      </c>
      <c r="H129" s="18">
        <v>93356080</v>
      </c>
      <c r="I129" s="16" t="s">
        <v>928</v>
      </c>
      <c r="J129" s="16"/>
      <c r="K129" s="16"/>
      <c r="L129" s="16" t="s">
        <v>2401</v>
      </c>
      <c r="M129" s="16" t="s">
        <v>947</v>
      </c>
      <c r="N129" s="16" t="s">
        <v>973</v>
      </c>
      <c r="O129" s="16" t="s">
        <v>253</v>
      </c>
      <c r="P129" s="16" t="s">
        <v>921</v>
      </c>
      <c r="Q129" s="16" t="s">
        <v>2292</v>
      </c>
    </row>
    <row r="130" spans="1:17" ht="15.75" x14ac:dyDescent="0.25">
      <c r="A130" s="122" t="s">
        <v>411</v>
      </c>
      <c r="B130" s="16" t="s">
        <v>976</v>
      </c>
      <c r="C130" s="44" t="s">
        <v>977</v>
      </c>
      <c r="D130" s="16"/>
      <c r="E130" s="16" t="s">
        <v>978</v>
      </c>
      <c r="F130" s="16" t="s">
        <v>979</v>
      </c>
      <c r="G130" s="16" t="s">
        <v>980</v>
      </c>
      <c r="H130" s="18">
        <v>22126201</v>
      </c>
      <c r="I130" s="16" t="s">
        <v>981</v>
      </c>
      <c r="J130" s="16">
        <v>26644128</v>
      </c>
      <c r="K130" s="16" t="s">
        <v>982</v>
      </c>
      <c r="L130" s="16" t="s">
        <v>2411</v>
      </c>
      <c r="M130" s="16" t="s">
        <v>983</v>
      </c>
      <c r="N130" s="16" t="s">
        <v>984</v>
      </c>
      <c r="O130" s="16" t="s">
        <v>253</v>
      </c>
      <c r="P130" s="16" t="s">
        <v>921</v>
      </c>
      <c r="Q130" s="16" t="s">
        <v>985</v>
      </c>
    </row>
    <row r="131" spans="1:17" s="49" customFormat="1" ht="15.75" x14ac:dyDescent="0.25">
      <c r="A131" s="124" t="s">
        <v>412</v>
      </c>
      <c r="B131" s="139" t="s">
        <v>1091</v>
      </c>
      <c r="C131" s="121" t="s">
        <v>977</v>
      </c>
      <c r="D131" s="46"/>
      <c r="E131" s="46" t="s">
        <v>248</v>
      </c>
      <c r="F131" s="46" t="s">
        <v>285</v>
      </c>
      <c r="G131" s="46" t="s">
        <v>1092</v>
      </c>
      <c r="H131" s="48">
        <v>24808671</v>
      </c>
      <c r="I131" s="46"/>
      <c r="J131" s="46"/>
      <c r="K131" s="46"/>
      <c r="L131" s="25" t="s">
        <v>984</v>
      </c>
      <c r="M131" s="46" t="s">
        <v>626</v>
      </c>
      <c r="N131" s="46" t="s">
        <v>984</v>
      </c>
      <c r="O131" s="46" t="s">
        <v>671</v>
      </c>
      <c r="P131" s="46" t="s">
        <v>1093</v>
      </c>
      <c r="Q131" s="46" t="s">
        <v>1589</v>
      </c>
    </row>
    <row r="132" spans="1:17" s="49" customFormat="1" ht="15.75" x14ac:dyDescent="0.25">
      <c r="A132" s="122" t="s">
        <v>413</v>
      </c>
      <c r="B132" s="46" t="s">
        <v>1094</v>
      </c>
      <c r="C132" s="46" t="s">
        <v>1095</v>
      </c>
      <c r="D132" s="47">
        <v>18181</v>
      </c>
      <c r="E132" s="46" t="s">
        <v>291</v>
      </c>
      <c r="F132" s="46" t="s">
        <v>292</v>
      </c>
      <c r="G132" s="46" t="s">
        <v>1096</v>
      </c>
      <c r="H132" s="48">
        <v>26842826</v>
      </c>
      <c r="I132" s="46"/>
      <c r="J132" s="48">
        <v>29854246</v>
      </c>
      <c r="K132" s="46"/>
      <c r="L132" s="16" t="s">
        <v>2422</v>
      </c>
      <c r="M132" s="46" t="s">
        <v>626</v>
      </c>
      <c r="N132" s="46" t="s">
        <v>984</v>
      </c>
      <c r="O132" s="46" t="s">
        <v>253</v>
      </c>
      <c r="P132" s="46" t="s">
        <v>988</v>
      </c>
      <c r="Q132" s="46" t="s">
        <v>2201</v>
      </c>
    </row>
    <row r="133" spans="1:17" s="49" customFormat="1" ht="15.75" x14ac:dyDescent="0.25">
      <c r="A133" s="122" t="s">
        <v>414</v>
      </c>
      <c r="B133" s="46" t="s">
        <v>1150</v>
      </c>
      <c r="C133" s="46" t="s">
        <v>1151</v>
      </c>
      <c r="D133" s="47">
        <v>26549</v>
      </c>
      <c r="E133" s="46" t="s">
        <v>248</v>
      </c>
      <c r="F133" s="46" t="s">
        <v>248</v>
      </c>
      <c r="G133" s="46" t="s">
        <v>1152</v>
      </c>
      <c r="H133" s="48">
        <v>25830356</v>
      </c>
      <c r="I133" s="46"/>
      <c r="J133" s="48">
        <v>213550733130</v>
      </c>
      <c r="K133" s="46"/>
      <c r="L133" s="16" t="s">
        <v>2407</v>
      </c>
      <c r="M133" s="46" t="s">
        <v>626</v>
      </c>
      <c r="N133" s="46" t="s">
        <v>984</v>
      </c>
      <c r="O133" s="46" t="s">
        <v>253</v>
      </c>
      <c r="P133" s="46" t="s">
        <v>1153</v>
      </c>
      <c r="Q133" s="46" t="s">
        <v>1172</v>
      </c>
    </row>
    <row r="134" spans="1:17" s="49" customFormat="1" ht="15.75" x14ac:dyDescent="0.25">
      <c r="A134" s="122" t="s">
        <v>415</v>
      </c>
      <c r="B134" s="46" t="s">
        <v>1222</v>
      </c>
      <c r="C134" s="46" t="s">
        <v>1223</v>
      </c>
      <c r="D134" s="47">
        <v>28875</v>
      </c>
      <c r="E134" s="46" t="s">
        <v>1224</v>
      </c>
      <c r="F134" s="46" t="s">
        <v>248</v>
      </c>
      <c r="G134" s="46" t="s">
        <v>1225</v>
      </c>
      <c r="H134" s="48">
        <v>54609373</v>
      </c>
      <c r="I134" s="46"/>
      <c r="J134" s="46"/>
      <c r="K134" s="46"/>
      <c r="L134" s="16" t="s">
        <v>2407</v>
      </c>
      <c r="M134" s="46" t="s">
        <v>626</v>
      </c>
      <c r="N134" s="46" t="s">
        <v>984</v>
      </c>
      <c r="O134" s="46" t="s">
        <v>253</v>
      </c>
      <c r="P134" s="46" t="s">
        <v>988</v>
      </c>
      <c r="Q134" s="46" t="s">
        <v>1226</v>
      </c>
    </row>
    <row r="135" spans="1:17" s="49" customFormat="1" ht="15.75" x14ac:dyDescent="0.25">
      <c r="A135" s="122" t="s">
        <v>416</v>
      </c>
      <c r="B135" s="46" t="s">
        <v>1544</v>
      </c>
      <c r="C135" s="46" t="s">
        <v>1545</v>
      </c>
      <c r="D135" s="47">
        <v>20950</v>
      </c>
      <c r="E135" s="46" t="s">
        <v>248</v>
      </c>
      <c r="F135" s="46" t="s">
        <v>248</v>
      </c>
      <c r="G135" s="46" t="s">
        <v>1546</v>
      </c>
      <c r="H135" s="48">
        <v>56880678</v>
      </c>
      <c r="I135" s="46" t="s">
        <v>1547</v>
      </c>
      <c r="J135" s="48">
        <v>23780642</v>
      </c>
      <c r="K135" s="46" t="s">
        <v>1547</v>
      </c>
      <c r="L135" s="46" t="s">
        <v>2399</v>
      </c>
      <c r="M135" s="46" t="s">
        <v>626</v>
      </c>
      <c r="N135" s="46" t="s">
        <v>1548</v>
      </c>
      <c r="O135" s="46" t="s">
        <v>253</v>
      </c>
      <c r="P135" s="46" t="s">
        <v>987</v>
      </c>
      <c r="Q135" s="46" t="s">
        <v>1583</v>
      </c>
    </row>
    <row r="136" spans="1:17" s="49" customFormat="1" ht="15.75" x14ac:dyDescent="0.25">
      <c r="A136" s="122" t="s">
        <v>417</v>
      </c>
      <c r="B136" s="46" t="s">
        <v>1578</v>
      </c>
      <c r="C136" s="46" t="s">
        <v>1579</v>
      </c>
      <c r="D136" s="47">
        <v>17906</v>
      </c>
      <c r="E136" s="46" t="s">
        <v>248</v>
      </c>
      <c r="F136" s="46" t="s">
        <v>1580</v>
      </c>
      <c r="G136" s="46" t="s">
        <v>603</v>
      </c>
      <c r="H136" s="48">
        <v>23861798</v>
      </c>
      <c r="I136" s="46" t="s">
        <v>1581</v>
      </c>
      <c r="J136" s="48">
        <v>97699991</v>
      </c>
      <c r="K136" s="46" t="s">
        <v>1581</v>
      </c>
      <c r="L136" s="46" t="s">
        <v>2409</v>
      </c>
      <c r="M136" s="46" t="s">
        <v>626</v>
      </c>
      <c r="N136" s="46" t="s">
        <v>984</v>
      </c>
      <c r="O136" s="112" t="s">
        <v>2322</v>
      </c>
      <c r="P136" s="46" t="s">
        <v>989</v>
      </c>
      <c r="Q136" s="46" t="s">
        <v>2352</v>
      </c>
    </row>
    <row r="137" spans="1:17" ht="15.75" x14ac:dyDescent="0.25">
      <c r="A137" s="122" t="s">
        <v>418</v>
      </c>
      <c r="B137" s="16" t="s">
        <v>1991</v>
      </c>
      <c r="C137" s="16" t="s">
        <v>1009</v>
      </c>
      <c r="D137" s="24" t="s">
        <v>984</v>
      </c>
      <c r="E137" s="16" t="s">
        <v>248</v>
      </c>
      <c r="F137" s="16" t="s">
        <v>285</v>
      </c>
      <c r="G137" s="16" t="s">
        <v>285</v>
      </c>
      <c r="H137" s="18">
        <v>51996997</v>
      </c>
      <c r="I137" s="16" t="s">
        <v>1992</v>
      </c>
      <c r="J137" s="16"/>
      <c r="K137" s="16"/>
      <c r="L137" s="25" t="s">
        <v>984</v>
      </c>
      <c r="M137" s="16" t="s">
        <v>984</v>
      </c>
      <c r="N137" s="16" t="s">
        <v>984</v>
      </c>
      <c r="O137" s="16" t="s">
        <v>253</v>
      </c>
      <c r="P137" s="16" t="s">
        <v>1992</v>
      </c>
      <c r="Q137" s="16" t="s">
        <v>1993</v>
      </c>
    </row>
    <row r="138" spans="1:17" s="49" customFormat="1" ht="15.75" x14ac:dyDescent="0.25">
      <c r="A138" s="122" t="s">
        <v>419</v>
      </c>
      <c r="B138" s="46" t="s">
        <v>2103</v>
      </c>
      <c r="C138" s="46" t="s">
        <v>2107</v>
      </c>
      <c r="D138" s="47">
        <v>14370</v>
      </c>
      <c r="E138" s="46" t="s">
        <v>248</v>
      </c>
      <c r="F138" s="46" t="s">
        <v>261</v>
      </c>
      <c r="G138" s="46" t="s">
        <v>2104</v>
      </c>
      <c r="H138" s="48">
        <v>26081331</v>
      </c>
      <c r="I138" s="46"/>
      <c r="J138" s="46"/>
      <c r="K138" s="46"/>
      <c r="L138" s="16" t="s">
        <v>2407</v>
      </c>
      <c r="M138" s="46" t="s">
        <v>626</v>
      </c>
      <c r="N138" s="46" t="s">
        <v>984</v>
      </c>
      <c r="O138" s="46" t="s">
        <v>253</v>
      </c>
      <c r="P138" s="46" t="s">
        <v>988</v>
      </c>
      <c r="Q138" s="46" t="s">
        <v>2106</v>
      </c>
    </row>
    <row r="139" spans="1:17" ht="15.75" x14ac:dyDescent="0.25">
      <c r="A139" s="124" t="s">
        <v>420</v>
      </c>
      <c r="B139" s="16" t="s">
        <v>2137</v>
      </c>
      <c r="C139" s="16" t="s">
        <v>2138</v>
      </c>
      <c r="D139" s="16" t="s">
        <v>2139</v>
      </c>
      <c r="E139" s="16" t="s">
        <v>263</v>
      </c>
      <c r="F139" s="16" t="s">
        <v>2140</v>
      </c>
      <c r="G139" s="16" t="s">
        <v>2140</v>
      </c>
      <c r="H139" s="18">
        <v>27981046</v>
      </c>
      <c r="I139" s="16"/>
      <c r="J139" s="18">
        <v>58372996</v>
      </c>
      <c r="K139" s="16" t="s">
        <v>2141</v>
      </c>
      <c r="L139" s="25" t="s">
        <v>984</v>
      </c>
      <c r="M139" s="16" t="s">
        <v>626</v>
      </c>
      <c r="N139" s="16" t="s">
        <v>984</v>
      </c>
      <c r="O139" s="29" t="s">
        <v>671</v>
      </c>
      <c r="P139" s="16" t="s">
        <v>1093</v>
      </c>
      <c r="Q139" s="16" t="s">
        <v>2142</v>
      </c>
    </row>
    <row r="140" spans="1:17" ht="15.75" x14ac:dyDescent="0.25">
      <c r="A140" s="122" t="s">
        <v>421</v>
      </c>
      <c r="B140" s="16" t="s">
        <v>2202</v>
      </c>
      <c r="C140" s="16" t="s">
        <v>2203</v>
      </c>
      <c r="D140" s="24">
        <v>27103</v>
      </c>
      <c r="E140" s="16" t="s">
        <v>248</v>
      </c>
      <c r="F140" s="16" t="s">
        <v>1580</v>
      </c>
      <c r="G140" s="16" t="s">
        <v>2204</v>
      </c>
      <c r="H140" s="18">
        <v>57035861</v>
      </c>
      <c r="I140" s="16" t="s">
        <v>2205</v>
      </c>
      <c r="J140" s="18">
        <v>97255194</v>
      </c>
      <c r="K140" s="16" t="s">
        <v>613</v>
      </c>
      <c r="L140" s="20" t="s">
        <v>2402</v>
      </c>
      <c r="M140" s="16" t="s">
        <v>67</v>
      </c>
      <c r="N140" s="16" t="s">
        <v>2206</v>
      </c>
      <c r="O140" s="16" t="s">
        <v>253</v>
      </c>
      <c r="P140" s="16" t="s">
        <v>989</v>
      </c>
      <c r="Q140" s="16" t="s">
        <v>2350</v>
      </c>
    </row>
    <row r="141" spans="1:17" ht="15.75" x14ac:dyDescent="0.25">
      <c r="A141" s="122" t="s">
        <v>422</v>
      </c>
      <c r="B141" s="16" t="s">
        <v>2209</v>
      </c>
      <c r="C141" s="16" t="s">
        <v>984</v>
      </c>
      <c r="D141" s="16"/>
      <c r="E141" s="16" t="s">
        <v>248</v>
      </c>
      <c r="F141" s="16" t="s">
        <v>281</v>
      </c>
      <c r="G141" s="16" t="s">
        <v>281</v>
      </c>
      <c r="H141" s="18">
        <v>28695961</v>
      </c>
      <c r="I141" s="16" t="s">
        <v>613</v>
      </c>
      <c r="J141" s="18">
        <v>25438330</v>
      </c>
      <c r="K141" s="16" t="s">
        <v>2210</v>
      </c>
      <c r="L141" s="20" t="s">
        <v>2412</v>
      </c>
      <c r="M141" s="16" t="s">
        <v>67</v>
      </c>
      <c r="N141" s="16" t="s">
        <v>2211</v>
      </c>
      <c r="O141" s="16" t="s">
        <v>253</v>
      </c>
      <c r="P141" s="16" t="s">
        <v>989</v>
      </c>
      <c r="Q141" s="16" t="s">
        <v>2349</v>
      </c>
    </row>
    <row r="142" spans="1:17" s="49" customFormat="1" ht="15.75" x14ac:dyDescent="0.25">
      <c r="A142" s="122" t="s">
        <v>423</v>
      </c>
      <c r="B142" s="46" t="s">
        <v>2337</v>
      </c>
      <c r="C142" s="46" t="s">
        <v>2338</v>
      </c>
      <c r="D142" s="47">
        <v>14601</v>
      </c>
      <c r="E142" s="46" t="s">
        <v>248</v>
      </c>
      <c r="F142" s="46" t="s">
        <v>830</v>
      </c>
      <c r="G142" s="46" t="s">
        <v>2339</v>
      </c>
      <c r="H142" s="48">
        <v>25827774</v>
      </c>
      <c r="I142" s="46" t="s">
        <v>2340</v>
      </c>
      <c r="J142" s="46"/>
      <c r="K142" s="46"/>
      <c r="L142" s="46" t="s">
        <v>2400</v>
      </c>
      <c r="M142" s="46" t="s">
        <v>67</v>
      </c>
      <c r="N142" s="46" t="s">
        <v>2341</v>
      </c>
      <c r="O142" s="46" t="s">
        <v>253</v>
      </c>
      <c r="P142" s="46" t="s">
        <v>2342</v>
      </c>
      <c r="Q142" s="46" t="s">
        <v>2351</v>
      </c>
    </row>
    <row r="143" spans="1:17" ht="15.75" x14ac:dyDescent="0.25">
      <c r="A143" s="122" t="s">
        <v>424</v>
      </c>
      <c r="B143" s="16" t="s">
        <v>2355</v>
      </c>
      <c r="C143" s="16" t="s">
        <v>2356</v>
      </c>
      <c r="D143" s="24">
        <v>23329</v>
      </c>
      <c r="E143" s="16" t="s">
        <v>291</v>
      </c>
      <c r="F143" s="16" t="s">
        <v>2357</v>
      </c>
      <c r="G143" s="16" t="s">
        <v>2358</v>
      </c>
      <c r="H143" s="18">
        <v>29285144</v>
      </c>
      <c r="I143" s="16"/>
      <c r="J143" s="18">
        <v>21808952</v>
      </c>
      <c r="K143" s="16"/>
      <c r="L143" s="46" t="s">
        <v>2400</v>
      </c>
      <c r="M143" s="16" t="s">
        <v>67</v>
      </c>
      <c r="N143" s="16" t="s">
        <v>2359</v>
      </c>
      <c r="O143" s="16" t="s">
        <v>253</v>
      </c>
      <c r="P143" s="16" t="s">
        <v>988</v>
      </c>
      <c r="Q143" s="16" t="s">
        <v>2360</v>
      </c>
    </row>
    <row r="144" spans="1:17" ht="15.75" x14ac:dyDescent="0.25">
      <c r="A144" s="140" t="s">
        <v>425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ht="15.75" x14ac:dyDescent="0.25">
      <c r="A145" s="140" t="s">
        <v>426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spans="1:17" ht="15.75" x14ac:dyDescent="0.25">
      <c r="A146" s="140" t="s">
        <v>427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spans="1:17" ht="15.75" x14ac:dyDescent="0.25">
      <c r="A147" s="140" t="s">
        <v>428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spans="1:17" ht="15.75" x14ac:dyDescent="0.25">
      <c r="A148" s="140" t="s">
        <v>429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spans="1:17" ht="15.75" x14ac:dyDescent="0.25">
      <c r="A149" s="140" t="s">
        <v>430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spans="1:17" ht="15.75" x14ac:dyDescent="0.25">
      <c r="A150" s="140" t="s">
        <v>431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spans="1:17" ht="15.75" x14ac:dyDescent="0.25">
      <c r="A151" s="140" t="s">
        <v>432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spans="1:17" ht="15.75" x14ac:dyDescent="0.25">
      <c r="A152" s="140" t="s">
        <v>433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spans="1:17" ht="15.75" x14ac:dyDescent="0.25">
      <c r="A153" s="140" t="s">
        <v>434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spans="1:17" ht="15.75" x14ac:dyDescent="0.25">
      <c r="A154" s="140" t="s">
        <v>435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spans="1:17" ht="15.75" x14ac:dyDescent="0.25">
      <c r="A155" s="140" t="s">
        <v>436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spans="1:17" ht="15.75" x14ac:dyDescent="0.25">
      <c r="A156" s="140" t="s">
        <v>437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spans="1:17" ht="15.75" x14ac:dyDescent="0.25">
      <c r="A157" s="140" t="s">
        <v>438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spans="1:17" ht="15.75" x14ac:dyDescent="0.25">
      <c r="A158" s="140" t="s">
        <v>439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spans="1:17" ht="15.75" x14ac:dyDescent="0.25">
      <c r="A159" s="140" t="s">
        <v>440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spans="1:17" ht="15.75" x14ac:dyDescent="0.25">
      <c r="A160" s="140" t="s">
        <v>441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spans="1:17" ht="15.75" x14ac:dyDescent="0.25">
      <c r="A161" s="140" t="s">
        <v>442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spans="1:17" ht="15.75" x14ac:dyDescent="0.25">
      <c r="A162" s="140" t="s">
        <v>443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spans="1:17" ht="15.75" x14ac:dyDescent="0.25">
      <c r="A163" s="140" t="s">
        <v>444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spans="1:17" ht="15.75" x14ac:dyDescent="0.25">
      <c r="A164" s="140" t="s">
        <v>445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7" ht="15.75" x14ac:dyDescent="0.25">
      <c r="A165" s="140" t="s">
        <v>446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spans="1:17" ht="15.75" x14ac:dyDescent="0.25">
      <c r="A166" s="140" t="s">
        <v>447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ht="15.75" x14ac:dyDescent="0.25">
      <c r="A167" s="140" t="s">
        <v>448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spans="1:17" ht="15.75" x14ac:dyDescent="0.25">
      <c r="A168" s="140" t="s">
        <v>449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spans="1:17" ht="15.75" x14ac:dyDescent="0.25">
      <c r="A169" s="140" t="s">
        <v>450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spans="1:17" ht="15.75" x14ac:dyDescent="0.25">
      <c r="A170" s="140" t="s">
        <v>451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spans="1:17" ht="15.75" x14ac:dyDescent="0.25">
      <c r="A171" s="140" t="s">
        <v>452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spans="1:17" ht="15.75" x14ac:dyDescent="0.25">
      <c r="A172" s="140" t="s">
        <v>453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spans="1:17" ht="15.75" x14ac:dyDescent="0.25">
      <c r="A173" s="140" t="s">
        <v>454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spans="1:17" ht="15.75" x14ac:dyDescent="0.25">
      <c r="A174" s="140" t="s">
        <v>455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spans="1:17" ht="15.75" x14ac:dyDescent="0.25">
      <c r="A175" s="140" t="s">
        <v>456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ht="15.75" x14ac:dyDescent="0.25">
      <c r="A176" s="140" t="s">
        <v>457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spans="1:17" ht="15.75" x14ac:dyDescent="0.25">
      <c r="A177" s="140" t="s">
        <v>458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spans="1:17" ht="15.75" x14ac:dyDescent="0.25">
      <c r="A178" s="140" t="s">
        <v>459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ht="15.75" x14ac:dyDescent="0.25">
      <c r="A179" s="140" t="s">
        <v>460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ht="15.75" x14ac:dyDescent="0.25">
      <c r="A180" s="140" t="s">
        <v>461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ht="15.75" x14ac:dyDescent="0.25">
      <c r="A181" s="140" t="s">
        <v>462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spans="1:17" ht="15.75" x14ac:dyDescent="0.25">
      <c r="A182" s="140" t="s">
        <v>463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spans="1:17" ht="15.75" x14ac:dyDescent="0.25">
      <c r="A183" s="140" t="s">
        <v>464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spans="1:17" ht="15.75" x14ac:dyDescent="0.25">
      <c r="A184" s="140" t="s">
        <v>465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ht="15.75" x14ac:dyDescent="0.25">
      <c r="A185" s="140" t="s">
        <v>466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spans="1:17" ht="15.75" x14ac:dyDescent="0.25">
      <c r="A186" s="140" t="s">
        <v>467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17" ht="15.75" x14ac:dyDescent="0.25">
      <c r="A187" s="140" t="s">
        <v>468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17" ht="15.75" x14ac:dyDescent="0.25">
      <c r="A188" s="140" t="s">
        <v>469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ht="15.75" x14ac:dyDescent="0.25">
      <c r="A189" s="140" t="s">
        <v>470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17" ht="15.75" x14ac:dyDescent="0.25">
      <c r="A190" s="140" t="s">
        <v>471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spans="1:17" ht="15.75" x14ac:dyDescent="0.25">
      <c r="A191" s="140" t="s">
        <v>472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spans="1:17" ht="15.75" x14ac:dyDescent="0.25">
      <c r="A192" s="140" t="s">
        <v>473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spans="1:17" ht="15.75" x14ac:dyDescent="0.25">
      <c r="A193" s="140" t="s">
        <v>474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ht="15.75" x14ac:dyDescent="0.25">
      <c r="A194" s="140" t="s">
        <v>475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spans="1:17" ht="15.75" x14ac:dyDescent="0.25">
      <c r="A195" s="140" t="s">
        <v>476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spans="1:17" ht="15.75" x14ac:dyDescent="0.25">
      <c r="A196" s="140" t="s">
        <v>477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spans="1:17" ht="15.75" x14ac:dyDescent="0.25">
      <c r="A197" s="140" t="s">
        <v>478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spans="1:17" ht="15.75" x14ac:dyDescent="0.25">
      <c r="A198" s="140" t="s">
        <v>479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spans="1:17" ht="15.75" x14ac:dyDescent="0.25">
      <c r="A199" s="140" t="s">
        <v>480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spans="1:17" ht="15.75" x14ac:dyDescent="0.25">
      <c r="A200" s="140" t="s">
        <v>481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spans="1:17" ht="15.75" x14ac:dyDescent="0.25">
      <c r="A201" s="140" t="s">
        <v>482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spans="1:17" ht="15.75" x14ac:dyDescent="0.25">
      <c r="A202" s="140" t="s">
        <v>483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ht="15.75" x14ac:dyDescent="0.25">
      <c r="A203" s="140" t="s">
        <v>484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spans="1:17" ht="15.75" x14ac:dyDescent="0.25">
      <c r="A204" s="140" t="s">
        <v>485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ht="15.75" x14ac:dyDescent="0.25">
      <c r="A205" s="140" t="s">
        <v>486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17" ht="15.75" x14ac:dyDescent="0.25">
      <c r="A206" s="140" t="s">
        <v>487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spans="1:17" ht="15.75" x14ac:dyDescent="0.25">
      <c r="A207" s="140" t="s">
        <v>488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spans="1:17" ht="15.75" x14ac:dyDescent="0.25">
      <c r="A208" s="140" t="s">
        <v>489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spans="1:17" ht="15.75" x14ac:dyDescent="0.25">
      <c r="A209" s="140" t="s">
        <v>490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spans="1:17" ht="15.75" x14ac:dyDescent="0.25">
      <c r="A210" s="140" t="s">
        <v>491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spans="1:17" ht="15.75" x14ac:dyDescent="0.25">
      <c r="A211" s="140" t="s">
        <v>492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ht="15.75" x14ac:dyDescent="0.25">
      <c r="A212" s="140" t="s">
        <v>493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</row>
    <row r="213" spans="1:17" ht="15.75" x14ac:dyDescent="0.25">
      <c r="A213" s="140" t="s">
        <v>494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</row>
    <row r="214" spans="1:17" ht="15.75" x14ac:dyDescent="0.25">
      <c r="A214" s="140" t="s">
        <v>495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</row>
    <row r="215" spans="1:17" ht="15.75" x14ac:dyDescent="0.25">
      <c r="A215" s="140" t="s">
        <v>496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</row>
    <row r="216" spans="1:17" ht="15.75" x14ac:dyDescent="0.25">
      <c r="A216" s="140" t="s">
        <v>497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</row>
    <row r="217" spans="1:17" ht="15.75" x14ac:dyDescent="0.25">
      <c r="A217" s="140" t="s">
        <v>498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</row>
    <row r="218" spans="1:17" ht="15.75" x14ac:dyDescent="0.25">
      <c r="A218" s="140" t="s">
        <v>499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</row>
    <row r="219" spans="1:17" ht="15.75" x14ac:dyDescent="0.25">
      <c r="A219" s="140" t="s">
        <v>500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</row>
    <row r="220" spans="1:17" ht="15.75" x14ac:dyDescent="0.25">
      <c r="A220" s="140" t="s">
        <v>501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ht="15.75" x14ac:dyDescent="0.25">
      <c r="A221" s="140" t="s">
        <v>502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</row>
    <row r="222" spans="1:17" ht="15.75" x14ac:dyDescent="0.25">
      <c r="A222" s="140" t="s">
        <v>503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spans="1:17" ht="15.75" x14ac:dyDescent="0.25">
      <c r="A223" s="140" t="s">
        <v>504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spans="1:17" ht="15.75" x14ac:dyDescent="0.25">
      <c r="A224" s="140" t="s">
        <v>505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spans="1:17" ht="15.75" x14ac:dyDescent="0.25">
      <c r="A225" s="140" t="s">
        <v>506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spans="1:17" ht="15.75" x14ac:dyDescent="0.25">
      <c r="A226" s="140" t="s">
        <v>507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spans="1:17" ht="15.75" x14ac:dyDescent="0.25">
      <c r="A227" s="140" t="s">
        <v>508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</row>
    <row r="228" spans="1:17" ht="15.75" x14ac:dyDescent="0.25">
      <c r="A228" s="140" t="s">
        <v>509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</row>
    <row r="229" spans="1:17" ht="15.75" x14ac:dyDescent="0.25">
      <c r="A229" s="140" t="s">
        <v>510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ht="15.75" x14ac:dyDescent="0.25">
      <c r="A230" s="140" t="s">
        <v>511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spans="1:17" ht="15.75" x14ac:dyDescent="0.25">
      <c r="A231" s="140" t="s">
        <v>512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spans="1:17" ht="15.75" x14ac:dyDescent="0.25">
      <c r="A232" s="140" t="s">
        <v>513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spans="1:17" ht="15.75" x14ac:dyDescent="0.25">
      <c r="A233" s="140" t="s">
        <v>514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spans="1:17" ht="15.75" x14ac:dyDescent="0.25">
      <c r="A234" s="140" t="s">
        <v>515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spans="1:17" ht="15.75" x14ac:dyDescent="0.25">
      <c r="A235" s="140" t="s">
        <v>516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</row>
    <row r="236" spans="1:17" ht="15.75" x14ac:dyDescent="0.25">
      <c r="A236" s="140" t="s">
        <v>517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</row>
    <row r="237" spans="1:17" ht="15.75" x14ac:dyDescent="0.25">
      <c r="A237" s="140" t="s">
        <v>518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</row>
    <row r="238" spans="1:17" ht="15.75" x14ac:dyDescent="0.25">
      <c r="A238" s="140" t="s">
        <v>519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ht="15.75" x14ac:dyDescent="0.25">
      <c r="A239" s="140" t="s">
        <v>520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</row>
    <row r="240" spans="1:17" ht="15.75" x14ac:dyDescent="0.25">
      <c r="A240" s="140" t="s">
        <v>521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spans="1:17" ht="15.75" x14ac:dyDescent="0.25">
      <c r="A241" s="140" t="s">
        <v>522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spans="1:17" ht="15.75" x14ac:dyDescent="0.25">
      <c r="A242" s="140" t="s">
        <v>523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spans="1:17" ht="15.75" x14ac:dyDescent="0.25">
      <c r="A243" s="140" t="s">
        <v>524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spans="1:17" ht="15.75" x14ac:dyDescent="0.25">
      <c r="A244" s="140" t="s">
        <v>525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</row>
    <row r="245" spans="1:17" ht="15.75" x14ac:dyDescent="0.25">
      <c r="A245" s="140" t="s">
        <v>526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</row>
    <row r="246" spans="1:17" ht="15.75" x14ac:dyDescent="0.25">
      <c r="A246" s="140" t="s">
        <v>527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</row>
    <row r="247" spans="1:17" ht="15.75" x14ac:dyDescent="0.25">
      <c r="A247" s="140" t="s">
        <v>528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ht="15.75" x14ac:dyDescent="0.25">
      <c r="A248" s="140" t="s">
        <v>529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</row>
    <row r="249" spans="1:17" ht="15.75" x14ac:dyDescent="0.25">
      <c r="A249" s="140" t="s">
        <v>530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spans="1:17" ht="15.75" x14ac:dyDescent="0.25">
      <c r="A250" s="140" t="s">
        <v>531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spans="1:17" ht="15.75" x14ac:dyDescent="0.25">
      <c r="A251" s="140" t="s">
        <v>532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spans="1:17" ht="15.75" x14ac:dyDescent="0.25">
      <c r="A252" s="140" t="s">
        <v>533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spans="1:17" ht="15.75" x14ac:dyDescent="0.25">
      <c r="A253" s="140" t="s">
        <v>534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</row>
    <row r="254" spans="1:17" ht="15.75" x14ac:dyDescent="0.25">
      <c r="A254" s="19" t="s">
        <v>535</v>
      </c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</row>
    <row r="255" spans="1:17" ht="15.75" x14ac:dyDescent="0.25">
      <c r="A255" s="19" t="s">
        <v>536</v>
      </c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</row>
    <row r="256" spans="1:17" ht="15.75" x14ac:dyDescent="0.25">
      <c r="A256" s="19" t="s">
        <v>537</v>
      </c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</row>
    <row r="257" spans="1:17" ht="15.75" x14ac:dyDescent="0.25">
      <c r="A257" s="19" t="s">
        <v>538</v>
      </c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</row>
    <row r="258" spans="1:17" ht="15.75" x14ac:dyDescent="0.25">
      <c r="A258" s="19" t="s">
        <v>539</v>
      </c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</row>
    <row r="259" spans="1:17" ht="15.75" x14ac:dyDescent="0.25">
      <c r="A259" s="19" t="s">
        <v>540</v>
      </c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</row>
    <row r="260" spans="1:17" ht="15.75" x14ac:dyDescent="0.25">
      <c r="A260" s="19" t="s">
        <v>541</v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</row>
    <row r="261" spans="1:17" ht="15.75" x14ac:dyDescent="0.25">
      <c r="A261" s="19" t="s">
        <v>542</v>
      </c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</row>
    <row r="262" spans="1:17" ht="15.75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</row>
    <row r="263" spans="1:17" ht="15.75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</row>
    <row r="264" spans="1:17" ht="15.75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</row>
    <row r="265" spans="1:17" ht="15.75" x14ac:dyDescent="0.25">
      <c r="A265" s="36"/>
      <c r="B265" s="68"/>
      <c r="C265" s="68"/>
      <c r="D265" s="68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</row>
    <row r="266" spans="1:17" ht="15.75" x14ac:dyDescent="0.25">
      <c r="A266" s="36"/>
      <c r="B266" s="68"/>
      <c r="C266" s="69"/>
      <c r="D266" s="68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</row>
    <row r="267" spans="1:17" ht="15.75" x14ac:dyDescent="0.25">
      <c r="A267" s="36"/>
      <c r="B267" s="68"/>
      <c r="C267" s="68"/>
      <c r="D267" s="68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</row>
    <row r="268" spans="1:17" ht="15.75" x14ac:dyDescent="0.25">
      <c r="A268" s="36"/>
      <c r="B268" s="68"/>
      <c r="C268" s="68"/>
      <c r="D268" s="68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</row>
    <row r="269" spans="1:17" ht="15.75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</row>
    <row r="270" spans="1:17" ht="15.75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</row>
    <row r="271" spans="1:17" ht="15.75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</row>
    <row r="272" spans="1:17" ht="15.75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</row>
    <row r="273" spans="1:17" ht="15.75" x14ac:dyDescent="0.25">
      <c r="A273" s="36"/>
      <c r="B273" s="36"/>
      <c r="C273" s="36"/>
      <c r="D273" s="36"/>
      <c r="E273" s="36"/>
      <c r="F273" s="36"/>
      <c r="G273" s="45"/>
      <c r="H273" s="36"/>
      <c r="I273" s="36"/>
      <c r="J273" s="36"/>
      <c r="K273" s="36"/>
      <c r="L273" s="36"/>
      <c r="M273" s="36"/>
      <c r="N273" s="36"/>
      <c r="O273" s="36"/>
      <c r="P273" s="36"/>
      <c r="Q273" s="36"/>
    </row>
    <row r="274" spans="1:17" ht="15.75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</row>
    <row r="275" spans="1:17" ht="15.75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</row>
    <row r="276" spans="1:17" ht="15.75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</row>
    <row r="277" spans="1:17" ht="15.75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</row>
    <row r="278" spans="1:17" ht="15.75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</row>
    <row r="279" spans="1:17" ht="15.75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</row>
    <row r="280" spans="1:17" ht="15.75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</row>
    <row r="281" spans="1:17" ht="15.75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</row>
    <row r="282" spans="1:17" ht="15.75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</row>
    <row r="283" spans="1:17" ht="15.75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</row>
    <row r="284" spans="1:17" ht="15.75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</row>
    <row r="285" spans="1:17" ht="15.75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</row>
    <row r="286" spans="1:17" ht="15.75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</row>
    <row r="287" spans="1:17" ht="15.75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</row>
    <row r="288" spans="1:17" ht="15.75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</row>
    <row r="289" spans="1:17" ht="15.75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</row>
    <row r="290" spans="1:17" ht="15.75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</row>
    <row r="291" spans="1:17" ht="15.75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</row>
    <row r="292" spans="1:17" ht="15.75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</row>
    <row r="293" spans="1:17" ht="15.75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</row>
    <row r="294" spans="1:17" ht="15.75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</row>
    <row r="295" spans="1:17" ht="15.75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</row>
    <row r="296" spans="1:17" ht="15.75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</row>
    <row r="297" spans="1:17" ht="15.75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</row>
    <row r="298" spans="1:17" ht="15.75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</row>
    <row r="299" spans="1:17" ht="15.75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</row>
    <row r="300" spans="1:17" ht="15.75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</row>
    <row r="301" spans="1:17" ht="15.75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</row>
    <row r="302" spans="1:17" ht="15.75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</row>
    <row r="303" spans="1:17" ht="15.75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</row>
    <row r="304" spans="1:17" ht="15.75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</row>
    <row r="305" spans="1:17" ht="15.75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</row>
    <row r="306" spans="1:17" ht="15.75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</row>
    <row r="307" spans="1:17" ht="15.75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</row>
    <row r="308" spans="1:17" ht="15.75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</row>
    <row r="309" spans="1:17" ht="15.75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</row>
    <row r="310" spans="1:17" ht="15.75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</row>
    <row r="311" spans="1:17" ht="15.75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</row>
    <row r="312" spans="1:17" ht="15.75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</row>
    <row r="313" spans="1:17" ht="15.75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</row>
    <row r="314" spans="1:17" ht="15.75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</row>
    <row r="315" spans="1:17" ht="15.75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</row>
    <row r="316" spans="1:17" ht="15.75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</row>
    <row r="317" spans="1:17" ht="15.75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</row>
    <row r="318" spans="1:17" ht="15.75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</row>
    <row r="319" spans="1:17" ht="15.75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</row>
  </sheetData>
  <autoFilter ref="A1:Q261" xr:uid="{00000000-0001-0000-0200-000000000000}">
    <sortState xmlns:xlrd2="http://schemas.microsoft.com/office/spreadsheetml/2017/richdata2" ref="A77:Q77">
      <sortCondition descending="1" ref="B1:B261"/>
    </sortState>
  </autoFilter>
  <mergeCells count="35">
    <mergeCell ref="T1:U1"/>
    <mergeCell ref="T32:U32"/>
    <mergeCell ref="T26:U26"/>
    <mergeCell ref="U4:V4"/>
    <mergeCell ref="T31:U31"/>
    <mergeCell ref="U3:V3"/>
    <mergeCell ref="U2:V2"/>
    <mergeCell ref="U11:V11"/>
    <mergeCell ref="U7:V7"/>
    <mergeCell ref="T23:U23"/>
    <mergeCell ref="U14:V14"/>
    <mergeCell ref="U6:V6"/>
    <mergeCell ref="U9:V9"/>
    <mergeCell ref="U5:V5"/>
    <mergeCell ref="U10:V10"/>
    <mergeCell ref="U8:V8"/>
    <mergeCell ref="U12:V12"/>
    <mergeCell ref="T18:U18"/>
    <mergeCell ref="T20:U20"/>
    <mergeCell ref="T28:U28"/>
    <mergeCell ref="U13:V13"/>
    <mergeCell ref="T19:U19"/>
    <mergeCell ref="U15:V15"/>
    <mergeCell ref="T24:U24"/>
    <mergeCell ref="T27:U27"/>
    <mergeCell ref="T17:U17"/>
    <mergeCell ref="T22:U22"/>
    <mergeCell ref="U16:V16"/>
    <mergeCell ref="T25:U25"/>
    <mergeCell ref="T35:U35"/>
    <mergeCell ref="T30:U30"/>
    <mergeCell ref="T29:U29"/>
    <mergeCell ref="T21:U21"/>
    <mergeCell ref="T34:U34"/>
    <mergeCell ref="T33:U33"/>
  </mergeCells>
  <phoneticPr fontId="11" type="noConversion"/>
  <pageMargins left="0.75" right="0.75" top="1" bottom="1" header="0.5" footer="0.5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0"/>
  <sheetViews>
    <sheetView zoomScale="85" zoomScaleNormal="85" workbookViewId="0">
      <selection activeCell="A213" sqref="A213"/>
    </sheetView>
  </sheetViews>
  <sheetFormatPr defaultRowHeight="15.75" x14ac:dyDescent="0.25"/>
  <cols>
    <col min="1" max="1" width="15" customWidth="1"/>
    <col min="2" max="2" width="31.140625" bestFit="1" customWidth="1"/>
    <col min="3" max="3" width="39.28515625" bestFit="1" customWidth="1"/>
    <col min="4" max="4" width="28.5703125" bestFit="1" customWidth="1"/>
    <col min="5" max="5" width="26.28515625" bestFit="1" customWidth="1"/>
    <col min="6" max="6" width="26" customWidth="1"/>
    <col min="7" max="8" width="15" customWidth="1"/>
    <col min="9" max="9" width="33.85546875" style="54" bestFit="1" customWidth="1"/>
    <col min="10" max="10" width="36.140625" style="15" customWidth="1"/>
    <col min="11" max="11" width="15" style="93" customWidth="1"/>
    <col min="12" max="12" width="17.28515625" style="93" customWidth="1"/>
    <col min="14" max="15" width="25" customWidth="1"/>
  </cols>
  <sheetData>
    <row r="1" spans="1:15" ht="30" x14ac:dyDescent="0.25">
      <c r="A1" s="37" t="s">
        <v>991</v>
      </c>
      <c r="B1" s="37" t="s">
        <v>103</v>
      </c>
      <c r="C1" s="37" t="s">
        <v>104</v>
      </c>
      <c r="D1" s="37" t="s">
        <v>990</v>
      </c>
      <c r="E1" s="37" t="s">
        <v>63</v>
      </c>
      <c r="F1" s="37" t="s">
        <v>105</v>
      </c>
      <c r="G1" s="37" t="s">
        <v>995</v>
      </c>
      <c r="H1" s="37" t="s">
        <v>2122</v>
      </c>
      <c r="I1" s="51" t="s">
        <v>1109</v>
      </c>
      <c r="J1" s="2" t="s">
        <v>2119</v>
      </c>
      <c r="K1" s="2" t="s">
        <v>2188</v>
      </c>
      <c r="L1" s="2" t="s">
        <v>2189</v>
      </c>
      <c r="N1" s="154"/>
      <c r="O1" s="154"/>
    </row>
    <row r="2" spans="1:15" ht="18.75" x14ac:dyDescent="0.3">
      <c r="A2" s="38" t="s">
        <v>106</v>
      </c>
      <c r="B2" s="38" t="s">
        <v>992</v>
      </c>
      <c r="C2" s="38" t="s">
        <v>993</v>
      </c>
      <c r="D2" s="50" t="s">
        <v>994</v>
      </c>
      <c r="E2" s="41" t="s">
        <v>1102</v>
      </c>
      <c r="F2" s="40" t="s">
        <v>2157</v>
      </c>
      <c r="G2" s="40" t="s">
        <v>996</v>
      </c>
      <c r="H2" s="39"/>
      <c r="I2" s="52"/>
      <c r="J2" s="32"/>
      <c r="K2" s="32"/>
      <c r="L2" s="32"/>
      <c r="N2" s="150" t="s">
        <v>69</v>
      </c>
      <c r="O2" s="150"/>
    </row>
    <row r="3" spans="1:15" ht="18.75" x14ac:dyDescent="0.3">
      <c r="A3" s="38" t="s">
        <v>108</v>
      </c>
      <c r="B3" s="38" t="s">
        <v>992</v>
      </c>
      <c r="C3" s="38" t="s">
        <v>997</v>
      </c>
      <c r="D3" s="40" t="s">
        <v>998</v>
      </c>
      <c r="E3" s="41" t="s">
        <v>1102</v>
      </c>
      <c r="F3" s="40" t="s">
        <v>2157</v>
      </c>
      <c r="G3" s="40" t="s">
        <v>999</v>
      </c>
      <c r="H3" s="39"/>
      <c r="I3" s="52"/>
      <c r="J3" s="32"/>
      <c r="K3" s="32"/>
      <c r="L3" s="32"/>
      <c r="N3" s="150" t="s">
        <v>71</v>
      </c>
      <c r="O3" s="151"/>
    </row>
    <row r="4" spans="1:15" ht="18.75" x14ac:dyDescent="0.3">
      <c r="A4" s="38" t="s">
        <v>109</v>
      </c>
      <c r="B4" s="38" t="s">
        <v>992</v>
      </c>
      <c r="C4" s="38" t="s">
        <v>1000</v>
      </c>
      <c r="D4" s="40" t="s">
        <v>1001</v>
      </c>
      <c r="E4" s="41" t="s">
        <v>1102</v>
      </c>
      <c r="F4" s="40" t="s">
        <v>2157</v>
      </c>
      <c r="G4" s="40" t="s">
        <v>1002</v>
      </c>
      <c r="H4" s="39"/>
      <c r="I4" s="52"/>
      <c r="J4" s="32"/>
      <c r="K4" s="32"/>
      <c r="L4" s="32"/>
      <c r="N4" s="150" t="s">
        <v>110</v>
      </c>
      <c r="O4" s="151"/>
    </row>
    <row r="5" spans="1:15" ht="18.75" x14ac:dyDescent="0.3">
      <c r="A5" s="96" t="s">
        <v>111</v>
      </c>
      <c r="B5" s="96" t="s">
        <v>992</v>
      </c>
      <c r="C5" s="96" t="s">
        <v>1003</v>
      </c>
      <c r="D5" s="97">
        <v>23201135093</v>
      </c>
      <c r="E5" s="98" t="s">
        <v>1121</v>
      </c>
      <c r="F5" s="97" t="s">
        <v>1078</v>
      </c>
      <c r="G5" s="97" t="s">
        <v>1004</v>
      </c>
      <c r="H5" s="113" t="s">
        <v>1153</v>
      </c>
      <c r="I5" s="118">
        <v>45882</v>
      </c>
      <c r="J5" s="100" t="s">
        <v>1212</v>
      </c>
      <c r="K5" s="100"/>
      <c r="L5" s="100"/>
      <c r="N5" s="150" t="s">
        <v>112</v>
      </c>
      <c r="O5" s="151"/>
    </row>
    <row r="6" spans="1:15" ht="18.75" x14ac:dyDescent="0.3">
      <c r="A6" s="38" t="s">
        <v>113</v>
      </c>
      <c r="B6" s="38" t="s">
        <v>1005</v>
      </c>
      <c r="C6" s="38" t="s">
        <v>1006</v>
      </c>
      <c r="D6" s="40" t="s">
        <v>1007</v>
      </c>
      <c r="E6" s="42" t="s">
        <v>1008</v>
      </c>
      <c r="F6" s="95" t="s">
        <v>1114</v>
      </c>
      <c r="G6" s="40" t="s">
        <v>1009</v>
      </c>
      <c r="H6" s="39"/>
      <c r="I6" s="52"/>
      <c r="J6" s="32"/>
      <c r="K6" s="32"/>
      <c r="L6" s="32"/>
      <c r="N6" s="150"/>
      <c r="O6" s="151"/>
    </row>
    <row r="7" spans="1:15" ht="18.75" x14ac:dyDescent="0.3">
      <c r="A7" s="38" t="s">
        <v>1010</v>
      </c>
      <c r="B7" s="38" t="s">
        <v>107</v>
      </c>
      <c r="C7" s="38" t="s">
        <v>1020</v>
      </c>
      <c r="D7" s="40">
        <v>2017686090</v>
      </c>
      <c r="E7" s="42" t="s">
        <v>1008</v>
      </c>
      <c r="F7" s="95" t="s">
        <v>1114</v>
      </c>
      <c r="G7" s="40" t="s">
        <v>1009</v>
      </c>
      <c r="H7" s="38"/>
      <c r="I7" s="53"/>
      <c r="J7" s="32"/>
      <c r="K7" s="32"/>
      <c r="L7" s="32"/>
      <c r="N7" s="150" t="s">
        <v>114</v>
      </c>
      <c r="O7" s="151"/>
    </row>
    <row r="8" spans="1:15" ht="18.75" x14ac:dyDescent="0.3">
      <c r="A8" s="38" t="s">
        <v>1011</v>
      </c>
      <c r="B8" s="38" t="s">
        <v>107</v>
      </c>
      <c r="C8" s="38" t="s">
        <v>1021</v>
      </c>
      <c r="D8" s="40">
        <v>22101214188</v>
      </c>
      <c r="E8" s="42" t="s">
        <v>1008</v>
      </c>
      <c r="F8" s="95" t="s">
        <v>1114</v>
      </c>
      <c r="G8" s="40" t="s">
        <v>1009</v>
      </c>
      <c r="H8" s="38"/>
      <c r="I8" s="53"/>
      <c r="J8" s="32"/>
      <c r="K8" s="32"/>
      <c r="L8" s="32"/>
      <c r="N8" s="150" t="s">
        <v>115</v>
      </c>
      <c r="O8" s="151"/>
    </row>
    <row r="9" spans="1:15" ht="18.75" x14ac:dyDescent="0.3">
      <c r="A9" s="38" t="s">
        <v>1012</v>
      </c>
      <c r="B9" s="38" t="s">
        <v>1005</v>
      </c>
      <c r="C9" s="38" t="s">
        <v>1022</v>
      </c>
      <c r="D9" s="40" t="s">
        <v>1023</v>
      </c>
      <c r="E9" s="41" t="s">
        <v>1103</v>
      </c>
      <c r="F9" s="40" t="s">
        <v>2157</v>
      </c>
      <c r="G9" s="40" t="s">
        <v>1024</v>
      </c>
      <c r="H9" s="38"/>
      <c r="I9" s="53"/>
      <c r="J9" s="32"/>
      <c r="K9" s="32"/>
      <c r="L9" s="32"/>
      <c r="N9" s="150" t="s">
        <v>116</v>
      </c>
      <c r="O9" s="151"/>
    </row>
    <row r="10" spans="1:15" ht="18.75" x14ac:dyDescent="0.3">
      <c r="A10" s="38" t="s">
        <v>1013</v>
      </c>
      <c r="B10" s="38" t="s">
        <v>107</v>
      </c>
      <c r="C10" s="38" t="s">
        <v>1022</v>
      </c>
      <c r="D10" s="40" t="s">
        <v>1025</v>
      </c>
      <c r="E10" s="41" t="s">
        <v>1103</v>
      </c>
      <c r="F10" s="40" t="s">
        <v>2157</v>
      </c>
      <c r="G10" s="40" t="s">
        <v>1026</v>
      </c>
      <c r="H10" s="38"/>
      <c r="I10" s="53"/>
      <c r="J10" s="32"/>
      <c r="K10" s="32"/>
      <c r="L10" s="32"/>
      <c r="N10" s="150" t="s">
        <v>117</v>
      </c>
      <c r="O10" s="151"/>
    </row>
    <row r="11" spans="1:15" ht="18.75" x14ac:dyDescent="0.3">
      <c r="A11" s="38" t="s">
        <v>1014</v>
      </c>
      <c r="B11" s="38" t="s">
        <v>1027</v>
      </c>
      <c r="C11" s="38" t="s">
        <v>1029</v>
      </c>
      <c r="D11" s="40">
        <v>22181099954</v>
      </c>
      <c r="E11" s="41" t="s">
        <v>1102</v>
      </c>
      <c r="F11" s="40" t="s">
        <v>2157</v>
      </c>
      <c r="G11" s="40" t="s">
        <v>1028</v>
      </c>
      <c r="H11" s="38"/>
      <c r="I11" s="53"/>
      <c r="J11" s="32"/>
      <c r="K11" s="32"/>
      <c r="L11" s="32"/>
      <c r="N11" s="150" t="s">
        <v>118</v>
      </c>
      <c r="O11" s="151"/>
    </row>
    <row r="12" spans="1:15" ht="18.75" x14ac:dyDescent="0.3">
      <c r="A12" s="38" t="s">
        <v>1015</v>
      </c>
      <c r="B12" s="38" t="s">
        <v>1027</v>
      </c>
      <c r="C12" s="38" t="s">
        <v>1029</v>
      </c>
      <c r="D12" s="40">
        <v>22201141299</v>
      </c>
      <c r="E12" s="41" t="s">
        <v>1102</v>
      </c>
      <c r="F12" s="40" t="s">
        <v>2157</v>
      </c>
      <c r="G12" s="40" t="s">
        <v>1030</v>
      </c>
      <c r="H12" s="38"/>
      <c r="I12" s="53"/>
      <c r="J12" s="32"/>
      <c r="K12" s="32"/>
      <c r="L12" s="32"/>
      <c r="N12" s="150"/>
      <c r="O12" s="151"/>
    </row>
    <row r="13" spans="1:15" ht="18.75" x14ac:dyDescent="0.3">
      <c r="A13" s="38" t="s">
        <v>1016</v>
      </c>
      <c r="B13" s="38" t="s">
        <v>1027</v>
      </c>
      <c r="C13" s="38" t="s">
        <v>1031</v>
      </c>
      <c r="D13" s="40" t="s">
        <v>1032</v>
      </c>
      <c r="E13" s="41" t="s">
        <v>1102</v>
      </c>
      <c r="F13" s="40" t="s">
        <v>2157</v>
      </c>
      <c r="G13" s="40" t="s">
        <v>1033</v>
      </c>
      <c r="H13" s="38"/>
      <c r="I13" s="53"/>
      <c r="J13" s="32"/>
      <c r="K13" s="32"/>
      <c r="L13" s="32"/>
      <c r="N13" s="150" t="s">
        <v>119</v>
      </c>
      <c r="O13" s="151"/>
    </row>
    <row r="14" spans="1:15" ht="18.75" x14ac:dyDescent="0.3">
      <c r="A14" s="38" t="s">
        <v>1017</v>
      </c>
      <c r="B14" s="38" t="s">
        <v>1027</v>
      </c>
      <c r="C14" s="38" t="s">
        <v>1031</v>
      </c>
      <c r="D14" s="40" t="s">
        <v>1034</v>
      </c>
      <c r="E14" s="41" t="s">
        <v>1102</v>
      </c>
      <c r="F14" s="40" t="s">
        <v>1155</v>
      </c>
      <c r="G14" s="40" t="s">
        <v>1035</v>
      </c>
      <c r="H14" s="39" t="s">
        <v>1166</v>
      </c>
      <c r="I14" s="55">
        <v>45883</v>
      </c>
      <c r="J14" s="32"/>
      <c r="K14" s="32"/>
      <c r="L14" s="32"/>
      <c r="N14" s="150" t="s">
        <v>120</v>
      </c>
      <c r="O14" s="151"/>
    </row>
    <row r="15" spans="1:15" ht="18.75" x14ac:dyDescent="0.3">
      <c r="A15" s="96" t="s">
        <v>1018</v>
      </c>
      <c r="B15" s="96" t="s">
        <v>1027</v>
      </c>
      <c r="C15" s="96" t="s">
        <v>1036</v>
      </c>
      <c r="D15" s="97" t="s">
        <v>1037</v>
      </c>
      <c r="E15" s="102" t="s">
        <v>1121</v>
      </c>
      <c r="F15" s="97" t="s">
        <v>1322</v>
      </c>
      <c r="G15" s="97" t="s">
        <v>1038</v>
      </c>
      <c r="H15" s="96" t="s">
        <v>989</v>
      </c>
      <c r="I15" s="99" t="s">
        <v>984</v>
      </c>
      <c r="J15" s="100" t="s">
        <v>2208</v>
      </c>
      <c r="K15" s="100" t="s">
        <v>984</v>
      </c>
      <c r="L15" s="104">
        <v>45891</v>
      </c>
      <c r="N15" s="150" t="s">
        <v>121</v>
      </c>
      <c r="O15" s="151"/>
    </row>
    <row r="16" spans="1:15" ht="18.75" x14ac:dyDescent="0.3">
      <c r="A16" s="38" t="s">
        <v>1019</v>
      </c>
      <c r="B16" s="38" t="s">
        <v>1027</v>
      </c>
      <c r="C16" s="38" t="s">
        <v>1036</v>
      </c>
      <c r="D16" s="40" t="s">
        <v>1039</v>
      </c>
      <c r="E16" s="41" t="s">
        <v>1102</v>
      </c>
      <c r="F16" s="40" t="s">
        <v>2157</v>
      </c>
      <c r="G16" s="40" t="s">
        <v>1040</v>
      </c>
      <c r="H16" s="38"/>
      <c r="I16" s="53"/>
      <c r="J16" s="32"/>
      <c r="K16" s="32"/>
      <c r="L16" s="32"/>
      <c r="N16" s="150" t="s">
        <v>122</v>
      </c>
      <c r="O16" s="151"/>
    </row>
    <row r="17" spans="1:15" ht="18.75" x14ac:dyDescent="0.3">
      <c r="A17" s="38" t="s">
        <v>1049</v>
      </c>
      <c r="B17" s="38" t="s">
        <v>1027</v>
      </c>
      <c r="C17" s="38" t="s">
        <v>1036</v>
      </c>
      <c r="D17" s="40" t="s">
        <v>1041</v>
      </c>
      <c r="E17" s="41" t="s">
        <v>1102</v>
      </c>
      <c r="F17" s="42" t="s">
        <v>2336</v>
      </c>
      <c r="G17" s="40" t="s">
        <v>1042</v>
      </c>
      <c r="H17" s="38" t="s">
        <v>1153</v>
      </c>
      <c r="I17" s="53"/>
      <c r="J17" s="32"/>
      <c r="K17" s="32"/>
      <c r="L17" s="94">
        <v>45892</v>
      </c>
      <c r="N17" s="150" t="s">
        <v>123</v>
      </c>
      <c r="O17" s="151"/>
    </row>
    <row r="18" spans="1:15" ht="18.75" x14ac:dyDescent="0.3">
      <c r="A18" s="38" t="s">
        <v>1050</v>
      </c>
      <c r="B18" s="38" t="s">
        <v>1027</v>
      </c>
      <c r="C18" s="38" t="s">
        <v>1043</v>
      </c>
      <c r="D18" s="40">
        <v>22131107611</v>
      </c>
      <c r="E18" s="42" t="s">
        <v>1008</v>
      </c>
      <c r="F18" s="95" t="s">
        <v>1114</v>
      </c>
      <c r="G18" s="40" t="s">
        <v>1009</v>
      </c>
      <c r="H18" s="38"/>
      <c r="I18" s="53"/>
      <c r="J18" s="32"/>
      <c r="K18" s="32"/>
      <c r="L18" s="32"/>
      <c r="N18" s="150" t="s">
        <v>124</v>
      </c>
      <c r="O18" s="151"/>
    </row>
    <row r="19" spans="1:15" ht="18.75" x14ac:dyDescent="0.3">
      <c r="A19" s="38" t="s">
        <v>1051</v>
      </c>
      <c r="B19" s="38" t="s">
        <v>1027</v>
      </c>
      <c r="C19" s="38" t="s">
        <v>1043</v>
      </c>
      <c r="D19" s="40">
        <v>22111378692</v>
      </c>
      <c r="E19" s="42" t="s">
        <v>1008</v>
      </c>
      <c r="F19" s="95" t="s">
        <v>1114</v>
      </c>
      <c r="G19" s="40" t="s">
        <v>1009</v>
      </c>
      <c r="H19" s="38"/>
      <c r="I19" s="53"/>
      <c r="J19" s="32"/>
      <c r="K19" s="32"/>
      <c r="L19" s="32"/>
      <c r="N19" s="150"/>
      <c r="O19" s="151"/>
    </row>
    <row r="20" spans="1:15" ht="18.75" x14ac:dyDescent="0.3">
      <c r="A20" s="38" t="s">
        <v>1052</v>
      </c>
      <c r="B20" s="38" t="s">
        <v>1027</v>
      </c>
      <c r="C20" s="38" t="s">
        <v>1043</v>
      </c>
      <c r="D20" s="40">
        <v>22112009902</v>
      </c>
      <c r="E20" s="42" t="s">
        <v>1008</v>
      </c>
      <c r="F20" s="95" t="s">
        <v>1114</v>
      </c>
      <c r="G20" s="40" t="s">
        <v>1009</v>
      </c>
      <c r="H20" s="38"/>
      <c r="I20" s="53"/>
      <c r="J20" s="32"/>
      <c r="K20" s="32"/>
      <c r="L20" s="32"/>
      <c r="N20" s="150" t="s">
        <v>125</v>
      </c>
      <c r="O20" s="151"/>
    </row>
    <row r="21" spans="1:15" ht="18.75" x14ac:dyDescent="0.3">
      <c r="A21" s="38" t="s">
        <v>1053</v>
      </c>
      <c r="B21" s="38" t="s">
        <v>1027</v>
      </c>
      <c r="C21" s="38" t="s">
        <v>1044</v>
      </c>
      <c r="D21" s="40" t="s">
        <v>1045</v>
      </c>
      <c r="E21" s="42" t="s">
        <v>1008</v>
      </c>
      <c r="F21" s="95" t="s">
        <v>1114</v>
      </c>
      <c r="G21" s="40" t="s">
        <v>1009</v>
      </c>
      <c r="H21" s="38"/>
      <c r="I21" s="53"/>
      <c r="J21" s="32"/>
      <c r="K21" s="32"/>
      <c r="L21" s="32"/>
      <c r="N21" s="150" t="s">
        <v>126</v>
      </c>
      <c r="O21" s="151"/>
    </row>
    <row r="22" spans="1:15" ht="18.75" x14ac:dyDescent="0.3">
      <c r="A22" s="38" t="s">
        <v>1054</v>
      </c>
      <c r="B22" s="38" t="s">
        <v>1027</v>
      </c>
      <c r="C22" s="38" t="s">
        <v>1031</v>
      </c>
      <c r="D22" s="40" t="s">
        <v>1046</v>
      </c>
      <c r="E22" s="42" t="s">
        <v>1008</v>
      </c>
      <c r="F22" s="95" t="s">
        <v>1114</v>
      </c>
      <c r="G22" s="40" t="s">
        <v>1009</v>
      </c>
      <c r="H22" s="38"/>
      <c r="I22" s="53"/>
      <c r="J22" s="32"/>
      <c r="K22" s="32"/>
      <c r="L22" s="32"/>
      <c r="N22" s="150" t="s">
        <v>127</v>
      </c>
      <c r="O22" s="151"/>
    </row>
    <row r="23" spans="1:15" ht="18.75" x14ac:dyDescent="0.3">
      <c r="A23" s="38" t="s">
        <v>1055</v>
      </c>
      <c r="B23" s="38" t="s">
        <v>1027</v>
      </c>
      <c r="C23" s="38" t="s">
        <v>1031</v>
      </c>
      <c r="D23" s="40" t="s">
        <v>1047</v>
      </c>
      <c r="E23" s="42" t="s">
        <v>1008</v>
      </c>
      <c r="F23" s="95" t="s">
        <v>1114</v>
      </c>
      <c r="G23" s="40" t="s">
        <v>1009</v>
      </c>
      <c r="H23" s="38"/>
      <c r="I23" s="53"/>
      <c r="J23" s="32"/>
      <c r="K23" s="32"/>
      <c r="L23" s="32"/>
      <c r="N23" s="150" t="s">
        <v>128</v>
      </c>
      <c r="O23" s="151"/>
    </row>
    <row r="24" spans="1:15" ht="18.75" x14ac:dyDescent="0.3">
      <c r="A24" s="38" t="s">
        <v>1056</v>
      </c>
      <c r="B24" s="38" t="s">
        <v>1027</v>
      </c>
      <c r="C24" s="38" t="s">
        <v>1031</v>
      </c>
      <c r="D24" s="40" t="s">
        <v>1048</v>
      </c>
      <c r="E24" s="42" t="s">
        <v>1008</v>
      </c>
      <c r="F24" s="95" t="s">
        <v>1114</v>
      </c>
      <c r="G24" s="40" t="s">
        <v>1009</v>
      </c>
      <c r="H24" s="38"/>
      <c r="I24" s="53"/>
      <c r="J24" s="32"/>
      <c r="K24" s="32"/>
      <c r="L24" s="32"/>
      <c r="N24" s="150"/>
      <c r="O24" s="151"/>
    </row>
    <row r="25" spans="1:15" s="101" customFormat="1" ht="18.75" x14ac:dyDescent="0.3">
      <c r="A25" s="96" t="s">
        <v>1057</v>
      </c>
      <c r="B25" s="96" t="s">
        <v>1067</v>
      </c>
      <c r="C25" s="96" t="s">
        <v>1074</v>
      </c>
      <c r="D25" s="97">
        <v>20240418194</v>
      </c>
      <c r="E25" s="98" t="s">
        <v>1121</v>
      </c>
      <c r="F25" s="97" t="s">
        <v>1078</v>
      </c>
      <c r="G25" s="97" t="s">
        <v>1009</v>
      </c>
      <c r="H25" s="96" t="s">
        <v>987</v>
      </c>
      <c r="I25" s="99"/>
      <c r="J25" s="100" t="s">
        <v>1587</v>
      </c>
      <c r="K25" s="100"/>
      <c r="L25" s="100"/>
      <c r="N25" s="152" t="s">
        <v>129</v>
      </c>
      <c r="O25" s="153"/>
    </row>
    <row r="26" spans="1:15" ht="18.75" x14ac:dyDescent="0.3">
      <c r="A26" s="38" t="s">
        <v>1058</v>
      </c>
      <c r="B26" s="38" t="s">
        <v>1067</v>
      </c>
      <c r="C26" s="38" t="s">
        <v>1068</v>
      </c>
      <c r="D26" s="40" t="s">
        <v>1069</v>
      </c>
      <c r="E26" s="41" t="s">
        <v>1102</v>
      </c>
      <c r="F26" s="40" t="s">
        <v>2157</v>
      </c>
      <c r="G26" s="40">
        <v>18646</v>
      </c>
      <c r="H26" s="38"/>
      <c r="I26" s="53"/>
      <c r="J26" s="32"/>
      <c r="K26" s="32"/>
      <c r="L26" s="32"/>
      <c r="N26" s="150" t="s">
        <v>130</v>
      </c>
      <c r="O26" s="151"/>
    </row>
    <row r="27" spans="1:15" ht="18.75" x14ac:dyDescent="0.3">
      <c r="A27" s="38" t="s">
        <v>1059</v>
      </c>
      <c r="B27" s="38" t="s">
        <v>1067</v>
      </c>
      <c r="C27" s="38" t="s">
        <v>1070</v>
      </c>
      <c r="D27" s="40" t="s">
        <v>1071</v>
      </c>
      <c r="E27" s="42" t="s">
        <v>1008</v>
      </c>
      <c r="F27" s="95" t="s">
        <v>1114</v>
      </c>
      <c r="G27" s="40" t="s">
        <v>1009</v>
      </c>
      <c r="H27" s="38"/>
      <c r="I27" s="53"/>
      <c r="J27" s="32"/>
      <c r="K27" s="32"/>
      <c r="L27" s="32"/>
      <c r="N27" s="150" t="s">
        <v>131</v>
      </c>
      <c r="O27" s="151"/>
    </row>
    <row r="28" spans="1:15" ht="18.75" x14ac:dyDescent="0.3">
      <c r="A28" s="38" t="s">
        <v>1060</v>
      </c>
      <c r="B28" s="38" t="s">
        <v>1067</v>
      </c>
      <c r="C28" s="38" t="s">
        <v>1072</v>
      </c>
      <c r="D28" s="40" t="s">
        <v>1073</v>
      </c>
      <c r="E28" s="42" t="s">
        <v>1008</v>
      </c>
      <c r="F28" s="95" t="s">
        <v>1115</v>
      </c>
      <c r="G28" s="40" t="s">
        <v>1009</v>
      </c>
      <c r="H28" s="38"/>
      <c r="I28" s="53"/>
      <c r="J28" s="32"/>
      <c r="K28" s="32"/>
      <c r="L28" s="32"/>
      <c r="N28" s="150" t="s">
        <v>132</v>
      </c>
      <c r="O28" s="151"/>
    </row>
    <row r="29" spans="1:15" ht="18.75" x14ac:dyDescent="0.3">
      <c r="A29" s="38" t="s">
        <v>1061</v>
      </c>
      <c r="B29" s="38" t="s">
        <v>1067</v>
      </c>
      <c r="C29" s="38" t="s">
        <v>1075</v>
      </c>
      <c r="D29" s="40">
        <v>220101154</v>
      </c>
      <c r="E29" s="42" t="s">
        <v>1008</v>
      </c>
      <c r="F29" s="40" t="s">
        <v>2157</v>
      </c>
      <c r="G29" s="40" t="s">
        <v>1009</v>
      </c>
      <c r="H29" s="38"/>
      <c r="I29" s="53" t="s">
        <v>1113</v>
      </c>
      <c r="J29" s="32"/>
      <c r="K29" s="32"/>
      <c r="L29" s="32"/>
      <c r="N29" s="150"/>
      <c r="O29" s="151"/>
    </row>
    <row r="30" spans="1:15" ht="18.75" x14ac:dyDescent="0.3">
      <c r="A30" s="96" t="s">
        <v>1062</v>
      </c>
      <c r="B30" s="96" t="s">
        <v>1112</v>
      </c>
      <c r="C30" s="96" t="s">
        <v>984</v>
      </c>
      <c r="D30" s="97" t="s">
        <v>984</v>
      </c>
      <c r="E30" s="98" t="s">
        <v>2391</v>
      </c>
      <c r="F30" s="97" t="s">
        <v>2157</v>
      </c>
      <c r="G30" s="97" t="s">
        <v>1009</v>
      </c>
      <c r="H30" s="96" t="s">
        <v>1153</v>
      </c>
      <c r="I30" s="99" t="s">
        <v>1110</v>
      </c>
      <c r="J30" s="100" t="s">
        <v>2089</v>
      </c>
      <c r="K30" s="120">
        <v>45894</v>
      </c>
      <c r="L30" s="116"/>
      <c r="N30" s="150" t="s">
        <v>133</v>
      </c>
      <c r="O30" s="151"/>
    </row>
    <row r="31" spans="1:15" ht="18.75" x14ac:dyDescent="0.3">
      <c r="A31" s="96" t="s">
        <v>1063</v>
      </c>
      <c r="B31" s="96" t="s">
        <v>1076</v>
      </c>
      <c r="C31" s="96" t="s">
        <v>1077</v>
      </c>
      <c r="D31" s="97" t="s">
        <v>1009</v>
      </c>
      <c r="E31" s="102" t="s">
        <v>1121</v>
      </c>
      <c r="F31" s="97" t="s">
        <v>2331</v>
      </c>
      <c r="G31" s="97" t="s">
        <v>984</v>
      </c>
      <c r="H31" s="96"/>
      <c r="I31" s="99"/>
      <c r="J31" s="100" t="s">
        <v>2098</v>
      </c>
      <c r="K31" s="100"/>
      <c r="L31" s="100"/>
      <c r="N31" s="150"/>
      <c r="O31" s="151"/>
    </row>
    <row r="32" spans="1:15" ht="18.75" x14ac:dyDescent="0.3">
      <c r="A32" s="38" t="s">
        <v>1064</v>
      </c>
      <c r="B32" s="38" t="s">
        <v>1076</v>
      </c>
      <c r="C32" s="38" t="s">
        <v>2095</v>
      </c>
      <c r="D32" s="40" t="s">
        <v>1009</v>
      </c>
      <c r="E32" s="41" t="s">
        <v>1102</v>
      </c>
      <c r="F32" s="40" t="s">
        <v>2157</v>
      </c>
      <c r="G32" s="40" t="s">
        <v>984</v>
      </c>
      <c r="H32" s="38"/>
      <c r="I32" s="53"/>
      <c r="J32" s="32"/>
      <c r="K32" s="32"/>
      <c r="L32" s="32"/>
      <c r="N32" s="150"/>
      <c r="O32" s="151"/>
    </row>
    <row r="33" spans="1:15" ht="18.75" x14ac:dyDescent="0.3">
      <c r="A33" s="96" t="s">
        <v>1065</v>
      </c>
      <c r="B33" s="96" t="s">
        <v>1076</v>
      </c>
      <c r="C33" s="96" t="s">
        <v>2096</v>
      </c>
      <c r="D33" s="97" t="s">
        <v>1009</v>
      </c>
      <c r="E33" s="98" t="s">
        <v>1121</v>
      </c>
      <c r="F33" s="97" t="s">
        <v>2331</v>
      </c>
      <c r="G33" s="97" t="s">
        <v>984</v>
      </c>
      <c r="H33" s="96"/>
      <c r="I33" s="99"/>
      <c r="J33" s="100" t="s">
        <v>2097</v>
      </c>
      <c r="K33" s="100"/>
      <c r="L33" s="100"/>
      <c r="N33" s="150"/>
      <c r="O33" s="151"/>
    </row>
    <row r="34" spans="1:15" ht="18.75" x14ac:dyDescent="0.3">
      <c r="A34" s="96" t="s">
        <v>1066</v>
      </c>
      <c r="B34" s="96" t="s">
        <v>1067</v>
      </c>
      <c r="C34" s="96" t="s">
        <v>1116</v>
      </c>
      <c r="D34" s="97"/>
      <c r="E34" s="98" t="s">
        <v>1121</v>
      </c>
      <c r="F34" s="97" t="s">
        <v>1078</v>
      </c>
      <c r="G34" s="97"/>
      <c r="H34" s="96"/>
      <c r="I34" s="99"/>
      <c r="J34" s="100"/>
      <c r="K34" s="108"/>
      <c r="L34" s="108"/>
      <c r="N34" s="150"/>
      <c r="O34" s="151"/>
    </row>
    <row r="35" spans="1:15" ht="18.75" x14ac:dyDescent="0.3">
      <c r="A35" s="96" t="s">
        <v>1079</v>
      </c>
      <c r="B35" s="96" t="s">
        <v>1067</v>
      </c>
      <c r="C35" s="96" t="s">
        <v>1072</v>
      </c>
      <c r="D35" s="97" t="s">
        <v>1080</v>
      </c>
      <c r="E35" s="102" t="s">
        <v>1121</v>
      </c>
      <c r="F35" s="97" t="s">
        <v>2331</v>
      </c>
      <c r="G35" s="97" t="s">
        <v>1081</v>
      </c>
      <c r="H35" s="96" t="s">
        <v>989</v>
      </c>
      <c r="I35" s="103">
        <v>45891</v>
      </c>
      <c r="J35" s="100" t="s">
        <v>2207</v>
      </c>
      <c r="K35" s="100" t="s">
        <v>984</v>
      </c>
      <c r="L35" s="104">
        <v>45891</v>
      </c>
      <c r="N35" s="150" t="s">
        <v>134</v>
      </c>
      <c r="O35" s="150"/>
    </row>
    <row r="36" spans="1:15" ht="18.75" x14ac:dyDescent="0.3">
      <c r="A36" s="96" t="s">
        <v>1084</v>
      </c>
      <c r="B36" s="96" t="s">
        <v>1067</v>
      </c>
      <c r="C36" s="96" t="s">
        <v>1082</v>
      </c>
      <c r="D36" s="97" t="s">
        <v>1083</v>
      </c>
      <c r="E36" s="98" t="s">
        <v>1121</v>
      </c>
      <c r="F36" s="97" t="s">
        <v>1078</v>
      </c>
      <c r="G36" s="97" t="s">
        <v>984</v>
      </c>
      <c r="H36" s="96" t="s">
        <v>1166</v>
      </c>
      <c r="I36" s="99" t="s">
        <v>984</v>
      </c>
      <c r="J36" s="100" t="s">
        <v>1855</v>
      </c>
      <c r="K36" s="100"/>
      <c r="L36" s="100"/>
      <c r="N36" s="150" t="s">
        <v>135</v>
      </c>
      <c r="O36" s="150"/>
    </row>
    <row r="37" spans="1:15" ht="18.75" x14ac:dyDescent="0.3">
      <c r="A37" s="96" t="s">
        <v>1085</v>
      </c>
      <c r="B37" s="96" t="s">
        <v>1027</v>
      </c>
      <c r="C37" s="96" t="s">
        <v>1086</v>
      </c>
      <c r="D37" s="97" t="s">
        <v>1229</v>
      </c>
      <c r="E37" s="98" t="s">
        <v>1121</v>
      </c>
      <c r="F37" s="97" t="s">
        <v>1078</v>
      </c>
      <c r="G37" s="97" t="s">
        <v>984</v>
      </c>
      <c r="H37" s="96" t="s">
        <v>1166</v>
      </c>
      <c r="I37" s="99" t="s">
        <v>1239</v>
      </c>
      <c r="J37" s="100" t="s">
        <v>1856</v>
      </c>
      <c r="K37" s="100"/>
      <c r="L37" s="100"/>
      <c r="N37" s="150" t="s">
        <v>136</v>
      </c>
      <c r="O37" s="151"/>
    </row>
    <row r="38" spans="1:15" ht="18.75" x14ac:dyDescent="0.3">
      <c r="A38" s="96" t="s">
        <v>1097</v>
      </c>
      <c r="B38" s="96" t="s">
        <v>1174</v>
      </c>
      <c r="C38" s="96" t="s">
        <v>1173</v>
      </c>
      <c r="D38" s="97" t="s">
        <v>1101</v>
      </c>
      <c r="E38" s="115" t="s">
        <v>1121</v>
      </c>
      <c r="F38" s="97" t="s">
        <v>1322</v>
      </c>
      <c r="G38" s="97">
        <v>12327</v>
      </c>
      <c r="H38" s="96" t="s">
        <v>988</v>
      </c>
      <c r="I38" s="99" t="s">
        <v>1111</v>
      </c>
      <c r="J38" s="100" t="s">
        <v>2361</v>
      </c>
      <c r="K38" s="100"/>
      <c r="L38" s="104">
        <v>45892</v>
      </c>
      <c r="N38" s="150" t="s">
        <v>137</v>
      </c>
      <c r="O38" s="151"/>
    </row>
    <row r="39" spans="1:15" ht="18.75" x14ac:dyDescent="0.3">
      <c r="A39" s="96" t="s">
        <v>1098</v>
      </c>
      <c r="B39" s="96" t="s">
        <v>1027</v>
      </c>
      <c r="C39" s="96" t="s">
        <v>1036</v>
      </c>
      <c r="D39" s="97" t="s">
        <v>1104</v>
      </c>
      <c r="E39" s="115" t="s">
        <v>1121</v>
      </c>
      <c r="F39" s="97" t="s">
        <v>1322</v>
      </c>
      <c r="G39" s="97" t="s">
        <v>1009</v>
      </c>
      <c r="H39" s="96" t="s">
        <v>988</v>
      </c>
      <c r="I39" s="99"/>
      <c r="J39" s="100" t="s">
        <v>1227</v>
      </c>
      <c r="K39" s="100"/>
      <c r="L39" s="100"/>
      <c r="N39" s="150"/>
      <c r="O39" s="151"/>
    </row>
    <row r="40" spans="1:15" ht="18.75" x14ac:dyDescent="0.3">
      <c r="A40" s="96" t="s">
        <v>1099</v>
      </c>
      <c r="B40" s="96" t="s">
        <v>1174</v>
      </c>
      <c r="C40" s="96" t="s">
        <v>1175</v>
      </c>
      <c r="D40" s="97" t="s">
        <v>1106</v>
      </c>
      <c r="E40" s="102" t="s">
        <v>1121</v>
      </c>
      <c r="F40" s="97" t="s">
        <v>1322</v>
      </c>
      <c r="G40" s="97"/>
      <c r="H40" s="96" t="s">
        <v>987</v>
      </c>
      <c r="I40" s="103">
        <v>45884</v>
      </c>
      <c r="J40" s="100" t="s">
        <v>1826</v>
      </c>
      <c r="K40" s="107"/>
      <c r="L40" s="107"/>
      <c r="N40" s="150" t="s">
        <v>138</v>
      </c>
      <c r="O40" s="151"/>
    </row>
    <row r="41" spans="1:15" ht="18.75" x14ac:dyDescent="0.3">
      <c r="A41" s="38" t="s">
        <v>1100</v>
      </c>
      <c r="B41" s="38" t="s">
        <v>1076</v>
      </c>
      <c r="C41" s="38" t="s">
        <v>2095</v>
      </c>
      <c r="D41" s="40" t="s">
        <v>1009</v>
      </c>
      <c r="E41" s="41" t="s">
        <v>1102</v>
      </c>
      <c r="F41" s="40" t="s">
        <v>2157</v>
      </c>
      <c r="G41" s="40"/>
      <c r="H41" s="38"/>
      <c r="I41" s="53"/>
      <c r="J41" s="32"/>
      <c r="K41" s="32"/>
      <c r="L41" s="32"/>
      <c r="N41" s="150"/>
      <c r="O41" s="151"/>
    </row>
    <row r="42" spans="1:15" ht="18.75" x14ac:dyDescent="0.3">
      <c r="A42" s="96" t="s">
        <v>1118</v>
      </c>
      <c r="B42" s="96" t="s">
        <v>1119</v>
      </c>
      <c r="C42" s="96" t="s">
        <v>984</v>
      </c>
      <c r="D42" s="97" t="s">
        <v>1120</v>
      </c>
      <c r="E42" s="98" t="s">
        <v>1121</v>
      </c>
      <c r="F42" s="97" t="s">
        <v>1078</v>
      </c>
      <c r="G42" s="97" t="s">
        <v>1009</v>
      </c>
      <c r="H42" s="96"/>
      <c r="I42" s="99"/>
      <c r="J42" s="100"/>
      <c r="K42" s="100"/>
      <c r="L42" s="100"/>
      <c r="N42" s="150" t="s">
        <v>139</v>
      </c>
      <c r="O42" s="151"/>
    </row>
    <row r="43" spans="1:15" ht="18.75" x14ac:dyDescent="0.3">
      <c r="A43" s="96" t="s">
        <v>1122</v>
      </c>
      <c r="B43" s="96" t="s">
        <v>1174</v>
      </c>
      <c r="C43" s="96" t="s">
        <v>1176</v>
      </c>
      <c r="D43" s="97" t="s">
        <v>1123</v>
      </c>
      <c r="E43" s="98" t="s">
        <v>1121</v>
      </c>
      <c r="F43" s="97" t="s">
        <v>1078</v>
      </c>
      <c r="G43" s="97" t="s">
        <v>1009</v>
      </c>
      <c r="H43" s="96"/>
      <c r="I43" s="99"/>
      <c r="J43" s="100"/>
      <c r="K43" s="100"/>
      <c r="L43" s="100"/>
      <c r="N43" s="150" t="s">
        <v>140</v>
      </c>
      <c r="O43" s="151"/>
    </row>
    <row r="44" spans="1:15" ht="18.75" x14ac:dyDescent="0.3">
      <c r="A44" s="96" t="s">
        <v>1130</v>
      </c>
      <c r="B44" s="96" t="s">
        <v>1027</v>
      </c>
      <c r="C44" s="96" t="s">
        <v>2162</v>
      </c>
      <c r="D44" s="97" t="s">
        <v>2163</v>
      </c>
      <c r="E44" s="98" t="s">
        <v>1121</v>
      </c>
      <c r="F44" s="97" t="s">
        <v>1078</v>
      </c>
      <c r="G44" s="97">
        <v>2955</v>
      </c>
      <c r="H44" s="96" t="s">
        <v>1153</v>
      </c>
      <c r="I44" s="99" t="s">
        <v>2087</v>
      </c>
      <c r="J44" s="100" t="s">
        <v>2164</v>
      </c>
      <c r="K44" s="100"/>
      <c r="L44" s="100"/>
      <c r="N44" s="150" t="s">
        <v>141</v>
      </c>
      <c r="O44" s="151"/>
    </row>
    <row r="45" spans="1:15" ht="18.75" x14ac:dyDescent="0.3">
      <c r="A45" s="96" t="s">
        <v>1131</v>
      </c>
      <c r="B45" s="96" t="s">
        <v>1067</v>
      </c>
      <c r="C45" s="96" t="s">
        <v>2165</v>
      </c>
      <c r="D45" s="97" t="s">
        <v>2166</v>
      </c>
      <c r="E45" s="98" t="s">
        <v>1121</v>
      </c>
      <c r="F45" s="97" t="s">
        <v>1078</v>
      </c>
      <c r="G45" s="97">
        <v>23208</v>
      </c>
      <c r="H45" s="96" t="s">
        <v>1153</v>
      </c>
      <c r="I45" s="99" t="s">
        <v>2087</v>
      </c>
      <c r="J45" s="100" t="s">
        <v>2164</v>
      </c>
      <c r="K45" s="100"/>
      <c r="L45" s="100"/>
      <c r="N45" s="150" t="s">
        <v>142</v>
      </c>
      <c r="O45" s="151"/>
    </row>
    <row r="46" spans="1:15" ht="18.75" x14ac:dyDescent="0.3">
      <c r="A46" s="96" t="s">
        <v>1133</v>
      </c>
      <c r="B46" s="96" t="s">
        <v>1027</v>
      </c>
      <c r="C46" s="96" t="s">
        <v>2115</v>
      </c>
      <c r="D46" s="97" t="s">
        <v>2116</v>
      </c>
      <c r="E46" s="98" t="s">
        <v>1121</v>
      </c>
      <c r="F46" s="97" t="s">
        <v>1078</v>
      </c>
      <c r="G46" s="97">
        <v>6978</v>
      </c>
      <c r="H46" s="96" t="s">
        <v>988</v>
      </c>
      <c r="I46" s="99" t="s">
        <v>2087</v>
      </c>
      <c r="J46" s="100" t="s">
        <v>2114</v>
      </c>
      <c r="K46" s="100"/>
      <c r="L46" s="100"/>
      <c r="N46" s="150" t="s">
        <v>143</v>
      </c>
      <c r="O46" s="151"/>
    </row>
    <row r="47" spans="1:15" ht="18.75" x14ac:dyDescent="0.3">
      <c r="A47" s="96" t="s">
        <v>1134</v>
      </c>
      <c r="B47" s="96" t="s">
        <v>1067</v>
      </c>
      <c r="C47" s="96" t="s">
        <v>1036</v>
      </c>
      <c r="D47" s="97">
        <v>20240418189</v>
      </c>
      <c r="E47" s="98" t="s">
        <v>1121</v>
      </c>
      <c r="F47" s="97" t="s">
        <v>1078</v>
      </c>
      <c r="G47" s="97">
        <v>713</v>
      </c>
      <c r="H47" s="96" t="s">
        <v>988</v>
      </c>
      <c r="I47" s="99" t="s">
        <v>2087</v>
      </c>
      <c r="J47" s="100" t="s">
        <v>2114</v>
      </c>
      <c r="K47" s="100"/>
      <c r="L47" s="100"/>
    </row>
    <row r="48" spans="1:15" ht="18.75" x14ac:dyDescent="0.3">
      <c r="A48" s="96" t="s">
        <v>1141</v>
      </c>
      <c r="B48" s="96" t="s">
        <v>1027</v>
      </c>
      <c r="C48" s="96" t="s">
        <v>2345</v>
      </c>
      <c r="D48" s="97">
        <v>22191536846</v>
      </c>
      <c r="E48" s="98" t="s">
        <v>1121</v>
      </c>
      <c r="F48" s="97" t="s">
        <v>1078</v>
      </c>
      <c r="G48" s="97" t="s">
        <v>984</v>
      </c>
      <c r="H48" s="96" t="s">
        <v>987</v>
      </c>
      <c r="I48" s="99"/>
      <c r="J48" s="100" t="s">
        <v>2485</v>
      </c>
      <c r="K48" s="100"/>
      <c r="L48" s="100"/>
    </row>
    <row r="49" spans="1:12" ht="18.75" x14ac:dyDescent="0.3">
      <c r="A49" s="38" t="s">
        <v>1144</v>
      </c>
      <c r="B49" s="38" t="s">
        <v>1027</v>
      </c>
      <c r="C49" s="38" t="s">
        <v>1043</v>
      </c>
      <c r="D49" s="40">
        <v>22151943863</v>
      </c>
      <c r="E49" s="41" t="s">
        <v>1102</v>
      </c>
      <c r="F49" s="40" t="s">
        <v>2157</v>
      </c>
      <c r="G49" s="40" t="s">
        <v>984</v>
      </c>
      <c r="H49" s="38" t="s">
        <v>987</v>
      </c>
      <c r="I49" s="55">
        <v>45883</v>
      </c>
      <c r="J49" s="32"/>
      <c r="K49" s="32"/>
      <c r="L49" s="32"/>
    </row>
    <row r="50" spans="1:12" ht="18.75" x14ac:dyDescent="0.3">
      <c r="A50" s="96" t="s">
        <v>1158</v>
      </c>
      <c r="B50" s="96" t="s">
        <v>1119</v>
      </c>
      <c r="C50" s="96" t="s">
        <v>1180</v>
      </c>
      <c r="D50" s="97">
        <v>22171113930</v>
      </c>
      <c r="E50" s="98" t="s">
        <v>1121</v>
      </c>
      <c r="F50" s="97" t="s">
        <v>1322</v>
      </c>
      <c r="G50" s="97">
        <v>9474</v>
      </c>
      <c r="H50" s="96" t="s">
        <v>1153</v>
      </c>
      <c r="I50" s="99" t="s">
        <v>1194</v>
      </c>
      <c r="J50" s="100" t="s">
        <v>1185</v>
      </c>
      <c r="K50" s="100"/>
      <c r="L50" s="100"/>
    </row>
    <row r="51" spans="1:12" ht="18.75" x14ac:dyDescent="0.3">
      <c r="A51" s="96" t="s">
        <v>1160</v>
      </c>
      <c r="B51" s="96" t="s">
        <v>1067</v>
      </c>
      <c r="C51" s="96" t="s">
        <v>1072</v>
      </c>
      <c r="D51" s="97" t="s">
        <v>1161</v>
      </c>
      <c r="E51" s="98" t="s">
        <v>1121</v>
      </c>
      <c r="F51" s="97" t="s">
        <v>1322</v>
      </c>
      <c r="G51" s="97">
        <v>16777.2</v>
      </c>
      <c r="H51" s="96" t="s">
        <v>1153</v>
      </c>
      <c r="I51" s="99" t="s">
        <v>1194</v>
      </c>
      <c r="J51" s="100" t="s">
        <v>1186</v>
      </c>
      <c r="K51" s="100"/>
      <c r="L51" s="100"/>
    </row>
    <row r="52" spans="1:12" ht="18.75" x14ac:dyDescent="0.3">
      <c r="A52" s="96" t="s">
        <v>1162</v>
      </c>
      <c r="B52" s="96" t="s">
        <v>1027</v>
      </c>
      <c r="C52" s="96" t="s">
        <v>1184</v>
      </c>
      <c r="D52" s="97" t="s">
        <v>1163</v>
      </c>
      <c r="E52" s="98" t="s">
        <v>1121</v>
      </c>
      <c r="F52" s="97" t="s">
        <v>1078</v>
      </c>
      <c r="G52" s="97">
        <v>441.5</v>
      </c>
      <c r="H52" s="96" t="s">
        <v>1153</v>
      </c>
      <c r="I52" s="99" t="s">
        <v>1194</v>
      </c>
      <c r="J52" s="100" t="s">
        <v>1199</v>
      </c>
      <c r="K52" s="100"/>
      <c r="L52" s="100"/>
    </row>
    <row r="53" spans="1:12" ht="18.75" x14ac:dyDescent="0.3">
      <c r="A53" s="96" t="s">
        <v>1164</v>
      </c>
      <c r="B53" s="96" t="s">
        <v>1174</v>
      </c>
      <c r="C53" s="96" t="s">
        <v>1177</v>
      </c>
      <c r="D53" s="97">
        <v>24031320012</v>
      </c>
      <c r="E53" s="102" t="s">
        <v>1121</v>
      </c>
      <c r="F53" s="97" t="s">
        <v>1322</v>
      </c>
      <c r="G53" s="97">
        <v>589</v>
      </c>
      <c r="H53" s="96" t="s">
        <v>987</v>
      </c>
      <c r="I53" s="103">
        <v>45885</v>
      </c>
      <c r="J53" s="100" t="s">
        <v>1850</v>
      </c>
      <c r="K53" s="107"/>
      <c r="L53" s="107"/>
    </row>
    <row r="54" spans="1:12" ht="18.75" x14ac:dyDescent="0.3">
      <c r="A54" s="96" t="s">
        <v>1165</v>
      </c>
      <c r="B54" s="96" t="s">
        <v>1076</v>
      </c>
      <c r="C54" s="96" t="s">
        <v>1077</v>
      </c>
      <c r="D54" s="97" t="s">
        <v>1009</v>
      </c>
      <c r="E54" s="115" t="s">
        <v>1121</v>
      </c>
      <c r="F54" s="97" t="s">
        <v>2331</v>
      </c>
      <c r="G54" s="97" t="s">
        <v>984</v>
      </c>
      <c r="H54" s="96" t="s">
        <v>988</v>
      </c>
      <c r="I54" s="103"/>
      <c r="J54" s="100" t="s">
        <v>2361</v>
      </c>
      <c r="K54" s="100"/>
      <c r="L54" s="100"/>
    </row>
    <row r="55" spans="1:12" ht="18.75" x14ac:dyDescent="0.3">
      <c r="A55" s="96" t="s">
        <v>1169</v>
      </c>
      <c r="B55" s="96" t="s">
        <v>1174</v>
      </c>
      <c r="C55" s="96" t="s">
        <v>1178</v>
      </c>
      <c r="D55" s="97" t="s">
        <v>1170</v>
      </c>
      <c r="E55" s="102" t="s">
        <v>1121</v>
      </c>
      <c r="F55" s="97" t="s">
        <v>1078</v>
      </c>
      <c r="G55" s="97">
        <v>666</v>
      </c>
      <c r="H55" s="96" t="s">
        <v>1153</v>
      </c>
      <c r="I55" s="99" t="s">
        <v>1195</v>
      </c>
      <c r="J55" s="100" t="s">
        <v>1187</v>
      </c>
      <c r="K55" s="108"/>
      <c r="L55" s="108"/>
    </row>
    <row r="56" spans="1:12" ht="18.75" x14ac:dyDescent="0.3">
      <c r="A56" s="96" t="s">
        <v>1171</v>
      </c>
      <c r="B56" s="96" t="s">
        <v>1067</v>
      </c>
      <c r="C56" s="96" t="s">
        <v>1072</v>
      </c>
      <c r="D56" s="97" t="s">
        <v>1191</v>
      </c>
      <c r="E56" s="102" t="s">
        <v>1121</v>
      </c>
      <c r="F56" s="97" t="s">
        <v>1078</v>
      </c>
      <c r="G56" s="97">
        <v>4610</v>
      </c>
      <c r="H56" s="96" t="s">
        <v>1153</v>
      </c>
      <c r="I56" s="99" t="s">
        <v>1192</v>
      </c>
      <c r="J56" s="100" t="s">
        <v>1193</v>
      </c>
      <c r="K56" s="100"/>
      <c r="L56" s="100"/>
    </row>
    <row r="57" spans="1:12" ht="18.75" x14ac:dyDescent="0.3">
      <c r="A57" s="96" t="s">
        <v>1196</v>
      </c>
      <c r="B57" s="96" t="s">
        <v>1027</v>
      </c>
      <c r="C57" s="96" t="s">
        <v>1197</v>
      </c>
      <c r="D57" s="97" t="s">
        <v>1198</v>
      </c>
      <c r="E57" s="98" t="s">
        <v>1121</v>
      </c>
      <c r="F57" s="97" t="s">
        <v>1078</v>
      </c>
      <c r="G57" s="97" t="s">
        <v>984</v>
      </c>
      <c r="H57" s="96" t="s">
        <v>1153</v>
      </c>
      <c r="I57" s="99" t="s">
        <v>1195</v>
      </c>
      <c r="J57" s="100" t="s">
        <v>1193</v>
      </c>
      <c r="K57" s="100"/>
      <c r="L57" s="100"/>
    </row>
    <row r="58" spans="1:12" ht="18.75" x14ac:dyDescent="0.3">
      <c r="A58" s="96" t="s">
        <v>1204</v>
      </c>
      <c r="B58" s="96" t="s">
        <v>1067</v>
      </c>
      <c r="C58" s="96" t="s">
        <v>1072</v>
      </c>
      <c r="D58" s="97" t="s">
        <v>1205</v>
      </c>
      <c r="E58" s="102" t="s">
        <v>1121</v>
      </c>
      <c r="F58" s="97" t="s">
        <v>1078</v>
      </c>
      <c r="G58" s="97">
        <v>10811</v>
      </c>
      <c r="H58" s="96" t="s">
        <v>1153</v>
      </c>
      <c r="I58" s="99" t="s">
        <v>1195</v>
      </c>
      <c r="J58" s="100" t="s">
        <v>1206</v>
      </c>
      <c r="K58" s="100"/>
      <c r="L58" s="100"/>
    </row>
    <row r="59" spans="1:12" ht="18.75" x14ac:dyDescent="0.3">
      <c r="A59" s="96" t="s">
        <v>1207</v>
      </c>
      <c r="B59" s="96" t="s">
        <v>1027</v>
      </c>
      <c r="C59" s="96" t="s">
        <v>1029</v>
      </c>
      <c r="D59" s="97">
        <v>23201610919</v>
      </c>
      <c r="E59" s="98" t="s">
        <v>1121</v>
      </c>
      <c r="F59" s="97" t="s">
        <v>1078</v>
      </c>
      <c r="G59" s="97">
        <v>4872</v>
      </c>
      <c r="H59" s="96" t="s">
        <v>1153</v>
      </c>
      <c r="I59" s="99" t="s">
        <v>1195</v>
      </c>
      <c r="J59" s="100" t="s">
        <v>1206</v>
      </c>
      <c r="K59" s="100"/>
      <c r="L59" s="100"/>
    </row>
    <row r="60" spans="1:12" ht="18.75" x14ac:dyDescent="0.3">
      <c r="A60" s="96" t="s">
        <v>1211</v>
      </c>
      <c r="B60" s="96" t="s">
        <v>1067</v>
      </c>
      <c r="C60" s="96" t="s">
        <v>1072</v>
      </c>
      <c r="D60" s="97" t="s">
        <v>1217</v>
      </c>
      <c r="E60" s="102" t="s">
        <v>1121</v>
      </c>
      <c r="F60" s="97" t="s">
        <v>1078</v>
      </c>
      <c r="G60" s="97">
        <v>21065</v>
      </c>
      <c r="H60" s="96" t="s">
        <v>1153</v>
      </c>
      <c r="I60" s="99" t="s">
        <v>1195</v>
      </c>
      <c r="J60" s="100" t="s">
        <v>1216</v>
      </c>
      <c r="K60" s="100"/>
      <c r="L60" s="100"/>
    </row>
    <row r="61" spans="1:12" ht="18.75" x14ac:dyDescent="0.3">
      <c r="A61" s="96" t="s">
        <v>1213</v>
      </c>
      <c r="B61" s="96" t="s">
        <v>1027</v>
      </c>
      <c r="C61" s="96" t="s">
        <v>1044</v>
      </c>
      <c r="D61" s="97" t="s">
        <v>1220</v>
      </c>
      <c r="E61" s="115" t="s">
        <v>1121</v>
      </c>
      <c r="F61" s="97" t="s">
        <v>1078</v>
      </c>
      <c r="G61" s="97">
        <v>13195</v>
      </c>
      <c r="H61" s="96" t="s">
        <v>1153</v>
      </c>
      <c r="I61" s="96" t="s">
        <v>1195</v>
      </c>
      <c r="J61" s="100" t="s">
        <v>1219</v>
      </c>
      <c r="K61" s="100"/>
      <c r="L61" s="100"/>
    </row>
    <row r="62" spans="1:12" ht="18.75" x14ac:dyDescent="0.3">
      <c r="A62" s="38" t="s">
        <v>1218</v>
      </c>
      <c r="B62" s="38" t="s">
        <v>1027</v>
      </c>
      <c r="C62" s="38" t="s">
        <v>1031</v>
      </c>
      <c r="D62" s="40" t="s">
        <v>1214</v>
      </c>
      <c r="E62" s="41" t="s">
        <v>1102</v>
      </c>
      <c r="F62" s="40" t="s">
        <v>2157</v>
      </c>
      <c r="G62" s="40">
        <v>9125.2999999999993</v>
      </c>
      <c r="H62" s="38" t="s">
        <v>987</v>
      </c>
      <c r="I62" s="39">
        <v>45884</v>
      </c>
      <c r="J62" s="32" t="s">
        <v>1215</v>
      </c>
      <c r="K62" s="32"/>
      <c r="L62" s="32"/>
    </row>
    <row r="63" spans="1:12" ht="18.75" x14ac:dyDescent="0.3">
      <c r="A63" s="96" t="s">
        <v>1230</v>
      </c>
      <c r="B63" s="96" t="s">
        <v>1067</v>
      </c>
      <c r="C63" s="96" t="s">
        <v>2123</v>
      </c>
      <c r="D63" s="97" t="s">
        <v>2315</v>
      </c>
      <c r="E63" s="102" t="s">
        <v>1121</v>
      </c>
      <c r="F63" s="97" t="s">
        <v>1078</v>
      </c>
      <c r="G63" s="97">
        <v>25886</v>
      </c>
      <c r="H63" s="97" t="s">
        <v>988</v>
      </c>
      <c r="I63" s="97" t="s">
        <v>1890</v>
      </c>
      <c r="J63" s="100" t="s">
        <v>1241</v>
      </c>
      <c r="K63" s="100"/>
      <c r="L63" s="100"/>
    </row>
    <row r="64" spans="1:12" ht="18.75" x14ac:dyDescent="0.3">
      <c r="A64" s="96" t="s">
        <v>1231</v>
      </c>
      <c r="B64" s="96" t="s">
        <v>1027</v>
      </c>
      <c r="C64" s="96" t="s">
        <v>2120</v>
      </c>
      <c r="D64" s="97" t="s">
        <v>2121</v>
      </c>
      <c r="E64" s="115" t="s">
        <v>1121</v>
      </c>
      <c r="F64" s="97" t="s">
        <v>1078</v>
      </c>
      <c r="G64" s="97">
        <v>11547.1</v>
      </c>
      <c r="H64" s="97" t="s">
        <v>988</v>
      </c>
      <c r="I64" s="97" t="s">
        <v>1890</v>
      </c>
      <c r="J64" s="100" t="s">
        <v>1241</v>
      </c>
      <c r="K64" s="100"/>
      <c r="L64" s="100"/>
    </row>
    <row r="65" spans="1:12" ht="18.75" x14ac:dyDescent="0.3">
      <c r="A65" s="96" t="s">
        <v>1238</v>
      </c>
      <c r="B65" s="96" t="s">
        <v>1067</v>
      </c>
      <c r="C65" s="96" t="s">
        <v>1768</v>
      </c>
      <c r="D65" s="97" t="s">
        <v>1769</v>
      </c>
      <c r="E65" s="102" t="s">
        <v>1121</v>
      </c>
      <c r="F65" s="97" t="s">
        <v>1078</v>
      </c>
      <c r="G65" s="97">
        <v>23434</v>
      </c>
      <c r="H65" s="97" t="s">
        <v>1153</v>
      </c>
      <c r="I65" s="97" t="s">
        <v>1762</v>
      </c>
      <c r="J65" s="100" t="s">
        <v>1767</v>
      </c>
      <c r="K65" s="100"/>
      <c r="L65" s="100"/>
    </row>
    <row r="66" spans="1:12" ht="18.75" x14ac:dyDescent="0.3">
      <c r="A66" s="96" t="s">
        <v>1240</v>
      </c>
      <c r="B66" s="96" t="s">
        <v>1027</v>
      </c>
      <c r="C66" s="96" t="s">
        <v>1044</v>
      </c>
      <c r="D66" s="97" t="s">
        <v>1770</v>
      </c>
      <c r="E66" s="115" t="s">
        <v>1121</v>
      </c>
      <c r="F66" s="97" t="s">
        <v>1078</v>
      </c>
      <c r="G66" s="97">
        <v>13332.8</v>
      </c>
      <c r="H66" s="97" t="s">
        <v>1153</v>
      </c>
      <c r="I66" s="97" t="s">
        <v>1762</v>
      </c>
      <c r="J66" s="100" t="s">
        <v>1767</v>
      </c>
      <c r="K66" s="100"/>
      <c r="L66" s="100"/>
    </row>
    <row r="67" spans="1:12" ht="18.75" x14ac:dyDescent="0.3">
      <c r="A67" s="96" t="s">
        <v>1248</v>
      </c>
      <c r="B67" s="96" t="s">
        <v>1067</v>
      </c>
      <c r="C67" s="96" t="s">
        <v>1552</v>
      </c>
      <c r="D67" s="97">
        <v>220100607</v>
      </c>
      <c r="E67" s="102" t="s">
        <v>1121</v>
      </c>
      <c r="F67" s="97" t="s">
        <v>1078</v>
      </c>
      <c r="G67" s="97">
        <v>4845</v>
      </c>
      <c r="H67" s="97" t="s">
        <v>1153</v>
      </c>
      <c r="I67" s="97" t="s">
        <v>1561</v>
      </c>
      <c r="J67" s="100" t="s">
        <v>1249</v>
      </c>
      <c r="K67" s="100"/>
      <c r="L67" s="100"/>
    </row>
    <row r="68" spans="1:12" ht="18.75" x14ac:dyDescent="0.3">
      <c r="A68" s="96" t="s">
        <v>1250</v>
      </c>
      <c r="B68" s="96" t="s">
        <v>1027</v>
      </c>
      <c r="C68" s="96" t="s">
        <v>1009</v>
      </c>
      <c r="D68" s="97" t="s">
        <v>1251</v>
      </c>
      <c r="E68" s="102" t="s">
        <v>1121</v>
      </c>
      <c r="F68" s="97" t="s">
        <v>1078</v>
      </c>
      <c r="G68" s="97" t="s">
        <v>984</v>
      </c>
      <c r="H68" s="97" t="s">
        <v>984</v>
      </c>
      <c r="I68" s="97" t="s">
        <v>1009</v>
      </c>
      <c r="J68" s="100" t="s">
        <v>1249</v>
      </c>
      <c r="K68" s="100"/>
      <c r="L68" s="100"/>
    </row>
    <row r="69" spans="1:12" ht="18.75" x14ac:dyDescent="0.3">
      <c r="A69" s="96" t="s">
        <v>1279</v>
      </c>
      <c r="B69" s="96" t="s">
        <v>1067</v>
      </c>
      <c r="C69" s="96" t="s">
        <v>984</v>
      </c>
      <c r="D69" s="97" t="s">
        <v>1280</v>
      </c>
      <c r="E69" s="102" t="s">
        <v>1121</v>
      </c>
      <c r="F69" s="97" t="s">
        <v>1078</v>
      </c>
      <c r="G69" s="97" t="s">
        <v>984</v>
      </c>
      <c r="H69" s="97" t="s">
        <v>984</v>
      </c>
      <c r="I69" s="97" t="s">
        <v>1239</v>
      </c>
      <c r="J69" s="100" t="s">
        <v>1281</v>
      </c>
      <c r="K69" s="100"/>
      <c r="L69" s="100"/>
    </row>
    <row r="70" spans="1:12" ht="18.75" x14ac:dyDescent="0.3">
      <c r="A70" s="96" t="s">
        <v>1283</v>
      </c>
      <c r="B70" s="96" t="s">
        <v>1027</v>
      </c>
      <c r="C70" s="96" t="s">
        <v>984</v>
      </c>
      <c r="D70" s="97" t="s">
        <v>1284</v>
      </c>
      <c r="E70" s="102" t="s">
        <v>1121</v>
      </c>
      <c r="F70" s="97" t="s">
        <v>1078</v>
      </c>
      <c r="G70" s="97" t="s">
        <v>984</v>
      </c>
      <c r="H70" s="97" t="s">
        <v>984</v>
      </c>
      <c r="I70" s="97" t="s">
        <v>984</v>
      </c>
      <c r="J70" s="100" t="s">
        <v>1282</v>
      </c>
      <c r="K70" s="100"/>
      <c r="L70" s="100"/>
    </row>
    <row r="71" spans="1:12" ht="18.75" x14ac:dyDescent="0.3">
      <c r="A71" s="96" t="s">
        <v>1287</v>
      </c>
      <c r="B71" s="96" t="s">
        <v>1067</v>
      </c>
      <c r="C71" s="96" t="s">
        <v>984</v>
      </c>
      <c r="D71" s="97" t="s">
        <v>1288</v>
      </c>
      <c r="E71" s="102" t="s">
        <v>1121</v>
      </c>
      <c r="F71" s="97" t="s">
        <v>1078</v>
      </c>
      <c r="G71" s="97" t="s">
        <v>1009</v>
      </c>
      <c r="H71" s="97" t="s">
        <v>984</v>
      </c>
      <c r="I71" s="97" t="s">
        <v>984</v>
      </c>
      <c r="J71" s="100" t="s">
        <v>1289</v>
      </c>
      <c r="K71" s="100"/>
      <c r="L71" s="100"/>
    </row>
    <row r="72" spans="1:12" ht="18.75" x14ac:dyDescent="0.3">
      <c r="A72" s="96" t="s">
        <v>1290</v>
      </c>
      <c r="B72" s="96" t="s">
        <v>1027</v>
      </c>
      <c r="C72" s="96" t="s">
        <v>984</v>
      </c>
      <c r="D72" s="97" t="s">
        <v>1291</v>
      </c>
      <c r="E72" s="102" t="s">
        <v>1121</v>
      </c>
      <c r="F72" s="97" t="s">
        <v>1078</v>
      </c>
      <c r="G72" s="97" t="s">
        <v>984</v>
      </c>
      <c r="H72" s="97" t="s">
        <v>984</v>
      </c>
      <c r="I72" s="97" t="s">
        <v>984</v>
      </c>
      <c r="J72" s="100" t="s">
        <v>1289</v>
      </c>
      <c r="K72" s="100"/>
      <c r="L72" s="100"/>
    </row>
    <row r="73" spans="1:12" ht="18.75" x14ac:dyDescent="0.3">
      <c r="A73" s="96" t="s">
        <v>1294</v>
      </c>
      <c r="B73" s="96" t="s">
        <v>1067</v>
      </c>
      <c r="C73" s="96" t="s">
        <v>1009</v>
      </c>
      <c r="D73" s="97" t="s">
        <v>1295</v>
      </c>
      <c r="E73" s="102" t="s">
        <v>1121</v>
      </c>
      <c r="F73" s="97" t="s">
        <v>1078</v>
      </c>
      <c r="G73" s="97" t="s">
        <v>984</v>
      </c>
      <c r="H73" s="97" t="s">
        <v>984</v>
      </c>
      <c r="I73" s="97" t="s">
        <v>984</v>
      </c>
      <c r="J73" s="100" t="s">
        <v>1296</v>
      </c>
      <c r="K73" s="100"/>
      <c r="L73" s="100"/>
    </row>
    <row r="74" spans="1:12" ht="18.75" x14ac:dyDescent="0.3">
      <c r="A74" s="96" t="s">
        <v>1298</v>
      </c>
      <c r="B74" s="96" t="s">
        <v>1067</v>
      </c>
      <c r="C74" s="96" t="s">
        <v>984</v>
      </c>
      <c r="D74" s="97" t="s">
        <v>1299</v>
      </c>
      <c r="E74" s="102" t="s">
        <v>1121</v>
      </c>
      <c r="F74" s="97" t="s">
        <v>1078</v>
      </c>
      <c r="G74" s="97" t="s">
        <v>984</v>
      </c>
      <c r="H74" s="97" t="s">
        <v>984</v>
      </c>
      <c r="I74" s="97" t="s">
        <v>984</v>
      </c>
      <c r="J74" s="100" t="s">
        <v>1300</v>
      </c>
      <c r="K74" s="100"/>
      <c r="L74" s="100"/>
    </row>
    <row r="75" spans="1:12" ht="18.75" x14ac:dyDescent="0.3">
      <c r="A75" s="96" t="s">
        <v>1301</v>
      </c>
      <c r="B75" s="96" t="s">
        <v>1027</v>
      </c>
      <c r="C75" s="96" t="s">
        <v>984</v>
      </c>
      <c r="D75" s="97" t="s">
        <v>1302</v>
      </c>
      <c r="E75" s="102" t="s">
        <v>1121</v>
      </c>
      <c r="F75" s="97" t="s">
        <v>1078</v>
      </c>
      <c r="G75" s="97" t="s">
        <v>984</v>
      </c>
      <c r="H75" s="97" t="s">
        <v>984</v>
      </c>
      <c r="I75" s="97" t="s">
        <v>984</v>
      </c>
      <c r="J75" s="100" t="s">
        <v>1300</v>
      </c>
      <c r="K75" s="100"/>
      <c r="L75" s="100"/>
    </row>
    <row r="76" spans="1:12" ht="18.75" x14ac:dyDescent="0.3">
      <c r="A76" s="96" t="s">
        <v>1305</v>
      </c>
      <c r="B76" s="96" t="s">
        <v>1067</v>
      </c>
      <c r="C76" s="96" t="s">
        <v>2482</v>
      </c>
      <c r="D76" s="97" t="s">
        <v>2483</v>
      </c>
      <c r="E76" s="102" t="s">
        <v>1121</v>
      </c>
      <c r="F76" s="97" t="s">
        <v>1078</v>
      </c>
      <c r="G76" s="97">
        <v>4697.7</v>
      </c>
      <c r="H76" s="97" t="s">
        <v>1153</v>
      </c>
      <c r="I76" s="97" t="s">
        <v>2456</v>
      </c>
      <c r="J76" s="100" t="s">
        <v>1323</v>
      </c>
      <c r="K76" s="100"/>
      <c r="L76" s="100"/>
    </row>
    <row r="77" spans="1:12" ht="18.75" x14ac:dyDescent="0.3">
      <c r="A77" s="96" t="s">
        <v>1306</v>
      </c>
      <c r="B77" s="96" t="s">
        <v>1067</v>
      </c>
      <c r="C77" s="96" t="s">
        <v>1828</v>
      </c>
      <c r="D77" s="97">
        <v>220100609</v>
      </c>
      <c r="E77" s="102" t="s">
        <v>1121</v>
      </c>
      <c r="F77" s="97" t="s">
        <v>1078</v>
      </c>
      <c r="G77" s="97">
        <v>10777</v>
      </c>
      <c r="H77" s="97" t="s">
        <v>988</v>
      </c>
      <c r="I77" s="97" t="s">
        <v>1762</v>
      </c>
      <c r="J77" s="100" t="s">
        <v>1326</v>
      </c>
      <c r="K77" s="100"/>
      <c r="L77" s="100"/>
    </row>
    <row r="78" spans="1:12" ht="18.75" x14ac:dyDescent="0.3">
      <c r="A78" s="96" t="s">
        <v>1307</v>
      </c>
      <c r="B78" s="96" t="s">
        <v>1027</v>
      </c>
      <c r="C78" s="96" t="s">
        <v>1829</v>
      </c>
      <c r="D78" s="97">
        <v>22141134217</v>
      </c>
      <c r="E78" s="102" t="s">
        <v>1121</v>
      </c>
      <c r="F78" s="97" t="s">
        <v>1078</v>
      </c>
      <c r="G78" s="97" t="s">
        <v>984</v>
      </c>
      <c r="H78" s="97" t="s">
        <v>988</v>
      </c>
      <c r="I78" s="97" t="s">
        <v>1762</v>
      </c>
      <c r="J78" s="100" t="s">
        <v>1326</v>
      </c>
      <c r="K78" s="100"/>
      <c r="L78" s="100"/>
    </row>
    <row r="79" spans="1:12" ht="18.75" x14ac:dyDescent="0.3">
      <c r="A79" s="96" t="s">
        <v>1308</v>
      </c>
      <c r="B79" s="96" t="s">
        <v>1067</v>
      </c>
      <c r="C79" s="96" t="s">
        <v>984</v>
      </c>
      <c r="D79" s="97" t="s">
        <v>1329</v>
      </c>
      <c r="E79" s="102" t="s">
        <v>1121</v>
      </c>
      <c r="F79" s="97" t="s">
        <v>1078</v>
      </c>
      <c r="G79" s="97" t="s">
        <v>984</v>
      </c>
      <c r="H79" s="97" t="s">
        <v>984</v>
      </c>
      <c r="I79" s="97" t="s">
        <v>984</v>
      </c>
      <c r="J79" s="100" t="s">
        <v>1330</v>
      </c>
      <c r="K79" s="100"/>
      <c r="L79" s="100"/>
    </row>
    <row r="80" spans="1:12" ht="18.75" x14ac:dyDescent="0.3">
      <c r="A80" s="96" t="s">
        <v>1309</v>
      </c>
      <c r="B80" s="96" t="s">
        <v>1027</v>
      </c>
      <c r="C80" s="96" t="s">
        <v>984</v>
      </c>
      <c r="D80" s="97" t="s">
        <v>1331</v>
      </c>
      <c r="E80" s="102" t="s">
        <v>1121</v>
      </c>
      <c r="F80" s="97" t="s">
        <v>1078</v>
      </c>
      <c r="G80" s="97" t="s">
        <v>984</v>
      </c>
      <c r="H80" s="97" t="s">
        <v>1239</v>
      </c>
      <c r="I80" s="97" t="s">
        <v>984</v>
      </c>
      <c r="J80" s="100" t="s">
        <v>1330</v>
      </c>
      <c r="K80" s="100"/>
      <c r="L80" s="100"/>
    </row>
    <row r="81" spans="1:12" ht="18.75" x14ac:dyDescent="0.3">
      <c r="A81" s="96" t="s">
        <v>1310</v>
      </c>
      <c r="B81" s="96" t="s">
        <v>1067</v>
      </c>
      <c r="C81" s="96" t="s">
        <v>2198</v>
      </c>
      <c r="D81" s="97" t="s">
        <v>2200</v>
      </c>
      <c r="E81" s="102" t="s">
        <v>1121</v>
      </c>
      <c r="F81" s="97" t="s">
        <v>1078</v>
      </c>
      <c r="G81" s="97">
        <v>18420</v>
      </c>
      <c r="H81" s="97" t="s">
        <v>1153</v>
      </c>
      <c r="I81" s="97" t="s">
        <v>2128</v>
      </c>
      <c r="J81" s="100" t="s">
        <v>1402</v>
      </c>
      <c r="K81" s="100"/>
      <c r="L81" s="100"/>
    </row>
    <row r="82" spans="1:12" ht="18.75" x14ac:dyDescent="0.3">
      <c r="A82" s="96" t="s">
        <v>1311</v>
      </c>
      <c r="B82" s="96" t="s">
        <v>1067</v>
      </c>
      <c r="C82" s="96" t="s">
        <v>984</v>
      </c>
      <c r="D82" s="97" t="s">
        <v>1403</v>
      </c>
      <c r="E82" s="102" t="s">
        <v>1121</v>
      </c>
      <c r="F82" s="97" t="s">
        <v>1078</v>
      </c>
      <c r="G82" s="97" t="s">
        <v>984</v>
      </c>
      <c r="H82" s="97" t="s">
        <v>984</v>
      </c>
      <c r="I82" s="97" t="s">
        <v>984</v>
      </c>
      <c r="J82" s="100" t="s">
        <v>1404</v>
      </c>
      <c r="K82" s="100"/>
      <c r="L82" s="100"/>
    </row>
    <row r="83" spans="1:12" ht="18.75" x14ac:dyDescent="0.3">
      <c r="A83" s="96" t="s">
        <v>1312</v>
      </c>
      <c r="B83" s="96" t="s">
        <v>1067</v>
      </c>
      <c r="C83" s="96" t="s">
        <v>984</v>
      </c>
      <c r="D83" s="97" t="s">
        <v>1536</v>
      </c>
      <c r="E83" s="102" t="s">
        <v>1121</v>
      </c>
      <c r="F83" s="97" t="s">
        <v>1078</v>
      </c>
      <c r="G83" s="97" t="s">
        <v>984</v>
      </c>
      <c r="H83" s="97" t="s">
        <v>984</v>
      </c>
      <c r="I83" s="97" t="s">
        <v>984</v>
      </c>
      <c r="J83" s="100" t="s">
        <v>1537</v>
      </c>
      <c r="K83" s="100"/>
      <c r="L83" s="100"/>
    </row>
    <row r="84" spans="1:12" ht="18.75" x14ac:dyDescent="0.3">
      <c r="A84" s="96" t="s">
        <v>1313</v>
      </c>
      <c r="B84" s="96" t="s">
        <v>1027</v>
      </c>
      <c r="C84" s="96" t="s">
        <v>984</v>
      </c>
      <c r="D84" s="97" t="s">
        <v>1332</v>
      </c>
      <c r="E84" s="102" t="s">
        <v>1121</v>
      </c>
      <c r="F84" s="97" t="s">
        <v>1078</v>
      </c>
      <c r="G84" s="97" t="s">
        <v>984</v>
      </c>
      <c r="H84" s="97" t="s">
        <v>984</v>
      </c>
      <c r="I84" s="97" t="s">
        <v>984</v>
      </c>
      <c r="J84" s="100" t="s">
        <v>1537</v>
      </c>
      <c r="K84" s="100"/>
      <c r="L84" s="100"/>
    </row>
    <row r="85" spans="1:12" ht="18.75" x14ac:dyDescent="0.3">
      <c r="A85" s="96" t="s">
        <v>1314</v>
      </c>
      <c r="B85" s="96" t="s">
        <v>1067</v>
      </c>
      <c r="C85" s="96" t="s">
        <v>2176</v>
      </c>
      <c r="D85" s="97">
        <v>20240120002</v>
      </c>
      <c r="E85" s="102" t="s">
        <v>1121</v>
      </c>
      <c r="F85" s="97" t="s">
        <v>1078</v>
      </c>
      <c r="G85" s="97" t="s">
        <v>984</v>
      </c>
      <c r="H85" s="97" t="s">
        <v>1153</v>
      </c>
      <c r="I85" s="97" t="s">
        <v>2128</v>
      </c>
      <c r="J85" s="100" t="s">
        <v>2179</v>
      </c>
      <c r="K85" s="100"/>
      <c r="L85" s="100"/>
    </row>
    <row r="86" spans="1:12" ht="18.75" x14ac:dyDescent="0.3">
      <c r="A86" s="96" t="s">
        <v>1315</v>
      </c>
      <c r="B86" s="96" t="s">
        <v>2180</v>
      </c>
      <c r="C86" s="96" t="s">
        <v>1031</v>
      </c>
      <c r="D86" s="97" t="s">
        <v>2177</v>
      </c>
      <c r="E86" s="102" t="s">
        <v>1121</v>
      </c>
      <c r="F86" s="97" t="s">
        <v>1078</v>
      </c>
      <c r="G86" s="97">
        <v>12345</v>
      </c>
      <c r="H86" s="97" t="s">
        <v>1153</v>
      </c>
      <c r="I86" s="97" t="s">
        <v>2128</v>
      </c>
      <c r="J86" s="100" t="s">
        <v>2179</v>
      </c>
      <c r="K86" s="116"/>
      <c r="L86" s="116"/>
    </row>
    <row r="87" spans="1:12" ht="18.75" x14ac:dyDescent="0.3">
      <c r="A87" s="96" t="s">
        <v>1316</v>
      </c>
      <c r="B87" s="96" t="s">
        <v>1067</v>
      </c>
      <c r="C87" s="96" t="s">
        <v>984</v>
      </c>
      <c r="D87" s="97" t="s">
        <v>1538</v>
      </c>
      <c r="E87" s="102" t="s">
        <v>1121</v>
      </c>
      <c r="F87" s="97" t="s">
        <v>1078</v>
      </c>
      <c r="G87" s="97" t="s">
        <v>984</v>
      </c>
      <c r="H87" s="97" t="s">
        <v>984</v>
      </c>
      <c r="I87" s="97" t="s">
        <v>984</v>
      </c>
      <c r="J87" s="100" t="s">
        <v>1540</v>
      </c>
      <c r="K87" s="100"/>
      <c r="L87" s="100"/>
    </row>
    <row r="88" spans="1:12" ht="18.75" x14ac:dyDescent="0.3">
      <c r="A88" s="96" t="s">
        <v>1317</v>
      </c>
      <c r="B88" s="96" t="s">
        <v>1067</v>
      </c>
      <c r="C88" s="96" t="s">
        <v>984</v>
      </c>
      <c r="D88" s="97" t="s">
        <v>1539</v>
      </c>
      <c r="E88" s="102" t="s">
        <v>1121</v>
      </c>
      <c r="F88" s="97" t="s">
        <v>1078</v>
      </c>
      <c r="G88" s="97" t="s">
        <v>984</v>
      </c>
      <c r="H88" s="97" t="s">
        <v>984</v>
      </c>
      <c r="I88" s="97" t="s">
        <v>984</v>
      </c>
      <c r="J88" s="100" t="s">
        <v>1541</v>
      </c>
      <c r="K88" s="100"/>
      <c r="L88" s="100"/>
    </row>
    <row r="89" spans="1:12" ht="18.75" x14ac:dyDescent="0.3">
      <c r="A89" s="96" t="s">
        <v>1318</v>
      </c>
      <c r="B89" s="96" t="s">
        <v>1067</v>
      </c>
      <c r="C89" s="96" t="s">
        <v>1072</v>
      </c>
      <c r="D89" s="97" t="s">
        <v>1774</v>
      </c>
      <c r="E89" s="102" t="s">
        <v>1121</v>
      </c>
      <c r="F89" s="97" t="s">
        <v>1078</v>
      </c>
      <c r="G89" s="97">
        <v>6747</v>
      </c>
      <c r="H89" s="97" t="s">
        <v>1153</v>
      </c>
      <c r="I89" s="97" t="s">
        <v>1762</v>
      </c>
      <c r="J89" s="100" t="s">
        <v>1542</v>
      </c>
      <c r="K89" s="100"/>
      <c r="L89" s="100"/>
    </row>
    <row r="90" spans="1:12" ht="18.75" x14ac:dyDescent="0.3">
      <c r="A90" s="96" t="s">
        <v>1319</v>
      </c>
      <c r="B90" s="96" t="s">
        <v>1027</v>
      </c>
      <c r="C90" s="96" t="s">
        <v>1031</v>
      </c>
      <c r="D90" s="97" t="s">
        <v>1775</v>
      </c>
      <c r="E90" s="102" t="s">
        <v>1121</v>
      </c>
      <c r="F90" s="97" t="s">
        <v>1078</v>
      </c>
      <c r="G90" s="97">
        <v>6530.1</v>
      </c>
      <c r="H90" s="97" t="s">
        <v>1153</v>
      </c>
      <c r="I90" s="97" t="s">
        <v>1762</v>
      </c>
      <c r="J90" s="100" t="s">
        <v>1542</v>
      </c>
      <c r="K90" s="100"/>
      <c r="L90" s="100"/>
    </row>
    <row r="91" spans="1:12" ht="18.75" x14ac:dyDescent="0.3">
      <c r="A91" s="96" t="s">
        <v>1320</v>
      </c>
      <c r="B91" s="96" t="s">
        <v>1067</v>
      </c>
      <c r="C91" s="96" t="s">
        <v>2353</v>
      </c>
      <c r="D91" s="97" t="s">
        <v>1543</v>
      </c>
      <c r="E91" s="119" t="s">
        <v>1102</v>
      </c>
      <c r="F91" s="40" t="s">
        <v>2157</v>
      </c>
      <c r="G91" s="97">
        <v>15192.6</v>
      </c>
      <c r="H91" s="97" t="s">
        <v>989</v>
      </c>
      <c r="I91" s="105" t="s">
        <v>2354</v>
      </c>
      <c r="J91" s="100" t="s">
        <v>1582</v>
      </c>
      <c r="K91" s="104">
        <v>45894</v>
      </c>
      <c r="L91" s="104">
        <v>45886</v>
      </c>
    </row>
    <row r="92" spans="1:12" ht="18.75" x14ac:dyDescent="0.3">
      <c r="A92" s="96" t="s">
        <v>1321</v>
      </c>
      <c r="B92" s="96" t="s">
        <v>1067</v>
      </c>
      <c r="C92" s="96" t="s">
        <v>1552</v>
      </c>
      <c r="D92" s="97" t="s">
        <v>1554</v>
      </c>
      <c r="E92" s="102" t="s">
        <v>1121</v>
      </c>
      <c r="F92" s="97" t="s">
        <v>1322</v>
      </c>
      <c r="G92" s="97" t="s">
        <v>984</v>
      </c>
      <c r="H92" s="97" t="s">
        <v>1992</v>
      </c>
      <c r="I92" s="106">
        <v>45889</v>
      </c>
      <c r="J92" s="100" t="s">
        <v>1994</v>
      </c>
      <c r="K92" s="100"/>
      <c r="L92" s="100"/>
    </row>
    <row r="93" spans="1:12" ht="18.75" x14ac:dyDescent="0.3">
      <c r="A93" s="96" t="s">
        <v>1557</v>
      </c>
      <c r="B93" s="96" t="s">
        <v>1027</v>
      </c>
      <c r="C93" s="96" t="s">
        <v>1184</v>
      </c>
      <c r="D93" s="97" t="s">
        <v>1555</v>
      </c>
      <c r="E93" s="102" t="s">
        <v>1121</v>
      </c>
      <c r="F93" s="97" t="s">
        <v>1322</v>
      </c>
      <c r="G93" s="97">
        <v>120.4</v>
      </c>
      <c r="H93" s="97" t="s">
        <v>1153</v>
      </c>
      <c r="I93" s="97" t="s">
        <v>1898</v>
      </c>
      <c r="J93" s="100" t="s">
        <v>1553</v>
      </c>
      <c r="K93" s="100"/>
      <c r="L93" s="100"/>
    </row>
    <row r="94" spans="1:12" ht="18.75" x14ac:dyDescent="0.3">
      <c r="A94" s="96" t="s">
        <v>1566</v>
      </c>
      <c r="B94" s="96" t="s">
        <v>1067</v>
      </c>
      <c r="C94" s="96" t="s">
        <v>1567</v>
      </c>
      <c r="D94" s="97">
        <v>20240418193</v>
      </c>
      <c r="E94" s="102" t="s">
        <v>1121</v>
      </c>
      <c r="F94" s="97" t="s">
        <v>1322</v>
      </c>
      <c r="G94" s="97">
        <v>1157</v>
      </c>
      <c r="H94" s="97" t="s">
        <v>1153</v>
      </c>
      <c r="I94" s="97" t="s">
        <v>1561</v>
      </c>
      <c r="J94" s="100" t="s">
        <v>1568</v>
      </c>
      <c r="K94" s="100"/>
      <c r="L94" s="100"/>
    </row>
    <row r="95" spans="1:12" ht="18.75" x14ac:dyDescent="0.3">
      <c r="A95" s="96" t="s">
        <v>1569</v>
      </c>
      <c r="B95" s="96" t="s">
        <v>1027</v>
      </c>
      <c r="C95" s="96" t="s">
        <v>1184</v>
      </c>
      <c r="D95" s="97" t="s">
        <v>1570</v>
      </c>
      <c r="E95" s="102" t="s">
        <v>1121</v>
      </c>
      <c r="F95" s="97" t="s">
        <v>1322</v>
      </c>
      <c r="G95" s="97"/>
      <c r="H95" s="97" t="s">
        <v>1153</v>
      </c>
      <c r="I95" s="97" t="s">
        <v>1561</v>
      </c>
      <c r="J95" s="100" t="s">
        <v>1568</v>
      </c>
      <c r="K95" s="100"/>
      <c r="L95" s="100"/>
    </row>
    <row r="96" spans="1:12" ht="18.75" x14ac:dyDescent="0.3">
      <c r="A96" s="96" t="s">
        <v>1574</v>
      </c>
      <c r="B96" s="96" t="s">
        <v>1067</v>
      </c>
      <c r="C96" s="96" t="s">
        <v>1575</v>
      </c>
      <c r="D96" s="97">
        <v>20240418023</v>
      </c>
      <c r="E96" s="102" t="s">
        <v>1121</v>
      </c>
      <c r="F96" s="97" t="s">
        <v>1322</v>
      </c>
      <c r="G96" s="97" t="s">
        <v>984</v>
      </c>
      <c r="H96" s="97" t="s">
        <v>1153</v>
      </c>
      <c r="I96" s="97" t="s">
        <v>1561</v>
      </c>
      <c r="J96" s="100" t="s">
        <v>1576</v>
      </c>
      <c r="K96" s="100"/>
      <c r="L96" s="100"/>
    </row>
    <row r="97" spans="1:12" ht="18.75" x14ac:dyDescent="0.3">
      <c r="A97" s="96" t="s">
        <v>1577</v>
      </c>
      <c r="B97" s="96" t="s">
        <v>1067</v>
      </c>
      <c r="C97" s="96" t="s">
        <v>1116</v>
      </c>
      <c r="D97" s="97" t="s">
        <v>984</v>
      </c>
      <c r="E97" s="102" t="s">
        <v>1121</v>
      </c>
      <c r="F97" s="97" t="s">
        <v>1322</v>
      </c>
      <c r="G97" s="97" t="s">
        <v>984</v>
      </c>
      <c r="H97" s="97" t="s">
        <v>1153</v>
      </c>
      <c r="I97" s="97" t="s">
        <v>984</v>
      </c>
      <c r="J97" s="100" t="s">
        <v>1576</v>
      </c>
      <c r="K97" s="100"/>
      <c r="L97" s="100"/>
    </row>
    <row r="98" spans="1:12" ht="18.75" x14ac:dyDescent="0.3">
      <c r="A98" s="96" t="s">
        <v>1590</v>
      </c>
      <c r="B98" s="96" t="s">
        <v>1067</v>
      </c>
      <c r="C98" s="96" t="s">
        <v>1828</v>
      </c>
      <c r="D98" s="97">
        <v>20240418109</v>
      </c>
      <c r="E98" s="102" t="s">
        <v>1121</v>
      </c>
      <c r="F98" s="97" t="s">
        <v>1322</v>
      </c>
      <c r="G98" s="97">
        <v>632</v>
      </c>
      <c r="H98" s="97" t="s">
        <v>1153</v>
      </c>
      <c r="I98" s="97" t="s">
        <v>2128</v>
      </c>
      <c r="J98" s="100" t="s">
        <v>1591</v>
      </c>
      <c r="K98" s="100"/>
      <c r="L98" s="100"/>
    </row>
    <row r="99" spans="1:12" ht="18.75" x14ac:dyDescent="0.3">
      <c r="A99" s="96" t="s">
        <v>1592</v>
      </c>
      <c r="B99" s="96" t="s">
        <v>1027</v>
      </c>
      <c r="C99" s="96" t="s">
        <v>2145</v>
      </c>
      <c r="D99" s="97">
        <v>22121363700</v>
      </c>
      <c r="E99" s="102" t="s">
        <v>1121</v>
      </c>
      <c r="F99" s="97" t="s">
        <v>1322</v>
      </c>
      <c r="G99" s="97">
        <v>19416</v>
      </c>
      <c r="H99" s="97" t="s">
        <v>1153</v>
      </c>
      <c r="I99" s="97" t="s">
        <v>2128</v>
      </c>
      <c r="J99" s="100" t="s">
        <v>1591</v>
      </c>
      <c r="K99" s="100"/>
      <c r="L99" s="100"/>
    </row>
    <row r="100" spans="1:12" ht="18.75" x14ac:dyDescent="0.3">
      <c r="A100" s="96" t="s">
        <v>1593</v>
      </c>
      <c r="B100" s="96" t="s">
        <v>1067</v>
      </c>
      <c r="C100" s="96" t="s">
        <v>984</v>
      </c>
      <c r="D100" s="97" t="s">
        <v>1594</v>
      </c>
      <c r="E100" s="102" t="s">
        <v>1121</v>
      </c>
      <c r="F100" s="97" t="s">
        <v>1322</v>
      </c>
      <c r="G100" s="97" t="s">
        <v>984</v>
      </c>
      <c r="H100" s="97" t="s">
        <v>984</v>
      </c>
      <c r="I100" s="97" t="s">
        <v>984</v>
      </c>
      <c r="J100" s="100" t="s">
        <v>1595</v>
      </c>
      <c r="K100" s="100"/>
      <c r="L100" s="100"/>
    </row>
    <row r="101" spans="1:12" ht="18.75" x14ac:dyDescent="0.3">
      <c r="A101" s="96" t="s">
        <v>1596</v>
      </c>
      <c r="B101" s="96" t="s">
        <v>1027</v>
      </c>
      <c r="C101" s="96" t="s">
        <v>984</v>
      </c>
      <c r="D101" s="97" t="s">
        <v>1597</v>
      </c>
      <c r="E101" s="102" t="s">
        <v>1121</v>
      </c>
      <c r="F101" s="97" t="s">
        <v>1322</v>
      </c>
      <c r="G101" s="97" t="s">
        <v>984</v>
      </c>
      <c r="H101" s="97" t="s">
        <v>1009</v>
      </c>
      <c r="I101" s="97" t="s">
        <v>984</v>
      </c>
      <c r="J101" s="100" t="s">
        <v>1595</v>
      </c>
      <c r="K101" s="100"/>
      <c r="L101" s="100"/>
    </row>
    <row r="102" spans="1:12" ht="18.75" x14ac:dyDescent="0.3">
      <c r="A102" s="96" t="s">
        <v>1598</v>
      </c>
      <c r="B102" s="96" t="s">
        <v>1067</v>
      </c>
      <c r="C102" s="96" t="s">
        <v>984</v>
      </c>
      <c r="D102" s="97" t="s">
        <v>1613</v>
      </c>
      <c r="E102" s="102" t="s">
        <v>1614</v>
      </c>
      <c r="F102" s="97" t="s">
        <v>1322</v>
      </c>
      <c r="G102" s="97" t="s">
        <v>984</v>
      </c>
      <c r="H102" s="97" t="s">
        <v>984</v>
      </c>
      <c r="I102" s="97" t="s">
        <v>984</v>
      </c>
      <c r="J102" s="100" t="s">
        <v>1615</v>
      </c>
      <c r="K102" s="100"/>
      <c r="L102" s="100"/>
    </row>
    <row r="103" spans="1:12" ht="18.75" x14ac:dyDescent="0.3">
      <c r="A103" s="96" t="s">
        <v>1599</v>
      </c>
      <c r="B103" s="96" t="s">
        <v>1027</v>
      </c>
      <c r="C103" s="96" t="s">
        <v>984</v>
      </c>
      <c r="D103" s="97" t="s">
        <v>1616</v>
      </c>
      <c r="E103" s="102" t="s">
        <v>1121</v>
      </c>
      <c r="F103" s="97" t="s">
        <v>1322</v>
      </c>
      <c r="G103" s="97" t="s">
        <v>984</v>
      </c>
      <c r="H103" s="97" t="s">
        <v>984</v>
      </c>
      <c r="I103" s="97" t="s">
        <v>984</v>
      </c>
      <c r="J103" s="100" t="s">
        <v>1615</v>
      </c>
      <c r="K103" s="100"/>
      <c r="L103" s="100"/>
    </row>
    <row r="104" spans="1:12" ht="18.75" x14ac:dyDescent="0.3">
      <c r="A104" s="96" t="s">
        <v>1600</v>
      </c>
      <c r="B104" s="96" t="s">
        <v>2489</v>
      </c>
      <c r="C104" s="96" t="s">
        <v>2490</v>
      </c>
      <c r="D104" s="97">
        <v>220101214</v>
      </c>
      <c r="E104" s="102" t="s">
        <v>1121</v>
      </c>
      <c r="F104" s="97" t="s">
        <v>1322</v>
      </c>
      <c r="G104" s="97" t="s">
        <v>984</v>
      </c>
      <c r="H104" s="97" t="s">
        <v>984</v>
      </c>
      <c r="I104" s="97" t="s">
        <v>984</v>
      </c>
      <c r="J104" s="100" t="s">
        <v>1619</v>
      </c>
      <c r="K104" s="100"/>
      <c r="L104" s="100"/>
    </row>
    <row r="105" spans="1:12" ht="18.75" x14ac:dyDescent="0.3">
      <c r="A105" s="96" t="s">
        <v>1601</v>
      </c>
      <c r="B105" s="96" t="s">
        <v>1067</v>
      </c>
      <c r="C105" s="96" t="s">
        <v>984</v>
      </c>
      <c r="D105" s="97" t="s">
        <v>1620</v>
      </c>
      <c r="E105" s="102" t="s">
        <v>1121</v>
      </c>
      <c r="F105" s="97" t="s">
        <v>1322</v>
      </c>
      <c r="G105" s="97" t="s">
        <v>984</v>
      </c>
      <c r="H105" s="97" t="s">
        <v>984</v>
      </c>
      <c r="I105" s="97" t="s">
        <v>984</v>
      </c>
      <c r="J105" s="100" t="s">
        <v>1621</v>
      </c>
      <c r="K105" s="100"/>
      <c r="L105" s="100"/>
    </row>
    <row r="106" spans="1:12" ht="18.75" x14ac:dyDescent="0.3">
      <c r="A106" s="96" t="s">
        <v>1602</v>
      </c>
      <c r="B106" s="96" t="s">
        <v>1027</v>
      </c>
      <c r="C106" s="96" t="s">
        <v>984</v>
      </c>
      <c r="D106" s="97" t="s">
        <v>1617</v>
      </c>
      <c r="E106" s="102" t="s">
        <v>1121</v>
      </c>
      <c r="F106" s="97" t="s">
        <v>1322</v>
      </c>
      <c r="G106" s="97" t="s">
        <v>984</v>
      </c>
      <c r="H106" s="97" t="s">
        <v>984</v>
      </c>
      <c r="I106" s="97" t="s">
        <v>984</v>
      </c>
      <c r="J106" s="100" t="s">
        <v>1621</v>
      </c>
      <c r="K106" s="100"/>
      <c r="L106" s="100"/>
    </row>
    <row r="107" spans="1:12" ht="18.75" x14ac:dyDescent="0.3">
      <c r="A107" s="96" t="s">
        <v>1603</v>
      </c>
      <c r="B107" s="96" t="s">
        <v>1067</v>
      </c>
      <c r="C107" s="96" t="s">
        <v>2194</v>
      </c>
      <c r="D107" s="97">
        <v>20240120094</v>
      </c>
      <c r="E107" s="102" t="s">
        <v>1121</v>
      </c>
      <c r="F107" s="97" t="s">
        <v>1322</v>
      </c>
      <c r="G107" s="97">
        <v>2462</v>
      </c>
      <c r="H107" s="97" t="s">
        <v>988</v>
      </c>
      <c r="I107" s="97" t="s">
        <v>1890</v>
      </c>
      <c r="J107" s="100" t="s">
        <v>1622</v>
      </c>
      <c r="K107" s="100"/>
      <c r="L107" s="100"/>
    </row>
    <row r="108" spans="1:12" ht="18.75" x14ac:dyDescent="0.3">
      <c r="A108" s="96" t="s">
        <v>1604</v>
      </c>
      <c r="B108" s="96" t="s">
        <v>2196</v>
      </c>
      <c r="C108" s="96" t="s">
        <v>1866</v>
      </c>
      <c r="D108" s="97" t="s">
        <v>2195</v>
      </c>
      <c r="E108" s="102" t="s">
        <v>1121</v>
      </c>
      <c r="F108" s="97" t="s">
        <v>1322</v>
      </c>
      <c r="G108" s="97" t="s">
        <v>1009</v>
      </c>
      <c r="H108" s="97" t="s">
        <v>988</v>
      </c>
      <c r="I108" s="97" t="s">
        <v>1890</v>
      </c>
      <c r="J108" s="100" t="s">
        <v>1622</v>
      </c>
      <c r="K108" s="116"/>
      <c r="L108" s="116"/>
    </row>
    <row r="109" spans="1:12" ht="18.75" x14ac:dyDescent="0.3">
      <c r="A109" s="96" t="s">
        <v>1605</v>
      </c>
      <c r="B109" s="96" t="s">
        <v>1067</v>
      </c>
      <c r="C109" s="96" t="s">
        <v>984</v>
      </c>
      <c r="D109" s="97" t="s">
        <v>1623</v>
      </c>
      <c r="E109" s="102" t="s">
        <v>1121</v>
      </c>
      <c r="F109" s="97" t="s">
        <v>1322</v>
      </c>
      <c r="G109" s="97" t="s">
        <v>984</v>
      </c>
      <c r="H109" s="97" t="s">
        <v>984</v>
      </c>
      <c r="I109" s="97" t="s">
        <v>984</v>
      </c>
      <c r="J109" s="100" t="s">
        <v>1624</v>
      </c>
      <c r="K109" s="100"/>
      <c r="L109" s="100"/>
    </row>
    <row r="110" spans="1:12" ht="18.75" x14ac:dyDescent="0.3">
      <c r="A110" s="96" t="s">
        <v>1606</v>
      </c>
      <c r="B110" s="96" t="s">
        <v>1027</v>
      </c>
      <c r="C110" s="96" t="s">
        <v>984</v>
      </c>
      <c r="D110" s="97" t="s">
        <v>1618</v>
      </c>
      <c r="E110" s="102" t="s">
        <v>1121</v>
      </c>
      <c r="F110" s="97" t="s">
        <v>1322</v>
      </c>
      <c r="G110" s="97" t="s">
        <v>1009</v>
      </c>
      <c r="H110" s="97" t="s">
        <v>984</v>
      </c>
      <c r="I110" s="97" t="s">
        <v>984</v>
      </c>
      <c r="J110" s="100" t="s">
        <v>1624</v>
      </c>
      <c r="K110" s="100"/>
      <c r="L110" s="100"/>
    </row>
    <row r="111" spans="1:12" ht="18.75" x14ac:dyDescent="0.3">
      <c r="A111" s="96" t="s">
        <v>1607</v>
      </c>
      <c r="B111" s="96" t="s">
        <v>1067</v>
      </c>
      <c r="C111" s="96" t="s">
        <v>1626</v>
      </c>
      <c r="D111" s="97">
        <v>24031320043</v>
      </c>
      <c r="E111" s="102" t="s">
        <v>1121</v>
      </c>
      <c r="F111" s="97" t="s">
        <v>1322</v>
      </c>
      <c r="G111" s="97">
        <v>369</v>
      </c>
      <c r="H111" s="97" t="s">
        <v>988</v>
      </c>
      <c r="I111" s="106">
        <v>45889</v>
      </c>
      <c r="J111" s="100" t="s">
        <v>2105</v>
      </c>
      <c r="K111" s="107"/>
      <c r="L111" s="107"/>
    </row>
    <row r="112" spans="1:12" ht="18.75" x14ac:dyDescent="0.3">
      <c r="A112" s="96" t="s">
        <v>1608</v>
      </c>
      <c r="B112" s="96" t="s">
        <v>1076</v>
      </c>
      <c r="C112" s="96" t="s">
        <v>1077</v>
      </c>
      <c r="D112" s="97" t="s">
        <v>984</v>
      </c>
      <c r="E112" s="102" t="s">
        <v>1121</v>
      </c>
      <c r="F112" s="97" t="s">
        <v>2331</v>
      </c>
      <c r="G112" s="97" t="s">
        <v>984</v>
      </c>
      <c r="H112" s="97" t="s">
        <v>1009</v>
      </c>
      <c r="I112" s="106"/>
      <c r="J112" s="100" t="s">
        <v>2207</v>
      </c>
      <c r="K112" s="100" t="s">
        <v>984</v>
      </c>
      <c r="L112" s="104">
        <v>45891</v>
      </c>
    </row>
    <row r="113" spans="1:12" ht="18.75" x14ac:dyDescent="0.3">
      <c r="A113" s="96" t="s">
        <v>1609</v>
      </c>
      <c r="B113" s="96" t="s">
        <v>1067</v>
      </c>
      <c r="C113" s="96" t="s">
        <v>1009</v>
      </c>
      <c r="D113" s="97" t="s">
        <v>1629</v>
      </c>
      <c r="E113" s="102" t="s">
        <v>1121</v>
      </c>
      <c r="F113" s="97" t="s">
        <v>1322</v>
      </c>
      <c r="G113" s="97" t="s">
        <v>984</v>
      </c>
      <c r="H113" s="97" t="s">
        <v>984</v>
      </c>
      <c r="I113" s="97" t="s">
        <v>984</v>
      </c>
      <c r="J113" s="100" t="s">
        <v>1627</v>
      </c>
      <c r="K113" s="108"/>
      <c r="L113" s="108"/>
    </row>
    <row r="114" spans="1:12" ht="18.75" x14ac:dyDescent="0.3">
      <c r="A114" s="96" t="s">
        <v>1610</v>
      </c>
      <c r="B114" s="96" t="s">
        <v>1067</v>
      </c>
      <c r="C114" s="96" t="s">
        <v>1828</v>
      </c>
      <c r="D114" s="97">
        <v>20240418022</v>
      </c>
      <c r="E114" s="102" t="s">
        <v>1121</v>
      </c>
      <c r="F114" s="97" t="s">
        <v>1322</v>
      </c>
      <c r="G114" s="97">
        <v>187</v>
      </c>
      <c r="H114" s="97" t="s">
        <v>1153</v>
      </c>
      <c r="I114" s="97" t="s">
        <v>1890</v>
      </c>
      <c r="J114" s="100" t="s">
        <v>1630</v>
      </c>
      <c r="K114" s="100"/>
      <c r="L114" s="100"/>
    </row>
    <row r="115" spans="1:12" ht="18.75" x14ac:dyDescent="0.3">
      <c r="A115" s="96" t="s">
        <v>1611</v>
      </c>
      <c r="B115" s="96" t="s">
        <v>1027</v>
      </c>
      <c r="C115" s="96" t="s">
        <v>2173</v>
      </c>
      <c r="D115" s="97" t="s">
        <v>2172</v>
      </c>
      <c r="E115" s="102" t="s">
        <v>1121</v>
      </c>
      <c r="F115" s="97" t="s">
        <v>1322</v>
      </c>
      <c r="G115" s="97">
        <v>1944.5</v>
      </c>
      <c r="H115" s="97" t="s">
        <v>1153</v>
      </c>
      <c r="I115" s="97" t="s">
        <v>1890</v>
      </c>
      <c r="J115" s="100" t="s">
        <v>1630</v>
      </c>
      <c r="K115" s="100"/>
      <c r="L115" s="100"/>
    </row>
    <row r="116" spans="1:12" ht="18.75" x14ac:dyDescent="0.3">
      <c r="A116" s="96" t="s">
        <v>1612</v>
      </c>
      <c r="B116" s="96" t="s">
        <v>1067</v>
      </c>
      <c r="C116" s="96" t="s">
        <v>2152</v>
      </c>
      <c r="D116" s="97">
        <v>24031320042</v>
      </c>
      <c r="E116" s="102" t="s">
        <v>1121</v>
      </c>
      <c r="F116" s="97" t="s">
        <v>1322</v>
      </c>
      <c r="G116" s="97">
        <v>754</v>
      </c>
      <c r="H116" s="97" t="s">
        <v>1153</v>
      </c>
      <c r="I116" s="106">
        <v>45890</v>
      </c>
      <c r="J116" s="100" t="s">
        <v>1718</v>
      </c>
      <c r="K116" s="100"/>
      <c r="L116" s="100"/>
    </row>
    <row r="117" spans="1:12" ht="18.75" x14ac:dyDescent="0.3">
      <c r="A117" s="96" t="s">
        <v>1719</v>
      </c>
      <c r="B117" s="96" t="s">
        <v>1067</v>
      </c>
      <c r="C117" s="96" t="s">
        <v>984</v>
      </c>
      <c r="D117" s="96" t="s">
        <v>1752</v>
      </c>
      <c r="E117" s="102" t="s">
        <v>1121</v>
      </c>
      <c r="F117" s="97" t="s">
        <v>1322</v>
      </c>
      <c r="G117" s="97" t="s">
        <v>984</v>
      </c>
      <c r="H117" s="97" t="s">
        <v>984</v>
      </c>
      <c r="I117" s="97" t="s">
        <v>984</v>
      </c>
      <c r="J117" s="27" t="s">
        <v>1753</v>
      </c>
      <c r="K117" s="27"/>
      <c r="L117" s="27"/>
    </row>
    <row r="118" spans="1:12" ht="18.75" x14ac:dyDescent="0.3">
      <c r="A118" s="96" t="s">
        <v>1720</v>
      </c>
      <c r="B118" s="96" t="s">
        <v>1027</v>
      </c>
      <c r="C118" s="96" t="s">
        <v>984</v>
      </c>
      <c r="D118" s="96" t="s">
        <v>1754</v>
      </c>
      <c r="E118" s="102" t="s">
        <v>1121</v>
      </c>
      <c r="F118" s="97" t="s">
        <v>1322</v>
      </c>
      <c r="G118" s="97" t="s">
        <v>984</v>
      </c>
      <c r="H118" s="97" t="s">
        <v>984</v>
      </c>
      <c r="I118" s="97" t="s">
        <v>984</v>
      </c>
      <c r="J118" s="27" t="s">
        <v>1753</v>
      </c>
      <c r="K118" s="27"/>
      <c r="L118" s="27"/>
    </row>
    <row r="119" spans="1:12" ht="18.75" x14ac:dyDescent="0.3">
      <c r="A119" s="96" t="s">
        <v>1721</v>
      </c>
      <c r="B119" s="96" t="s">
        <v>1067</v>
      </c>
      <c r="C119" s="96" t="s">
        <v>2390</v>
      </c>
      <c r="D119" s="96">
        <v>20240418113</v>
      </c>
      <c r="E119" s="102" t="s">
        <v>1121</v>
      </c>
      <c r="F119" s="97" t="s">
        <v>1322</v>
      </c>
      <c r="G119" s="97">
        <v>3673</v>
      </c>
      <c r="H119" s="97" t="s">
        <v>1153</v>
      </c>
      <c r="I119" s="97" t="s">
        <v>2128</v>
      </c>
      <c r="J119" s="27" t="s">
        <v>1755</v>
      </c>
      <c r="K119" s="27"/>
      <c r="L119" s="27"/>
    </row>
    <row r="120" spans="1:12" ht="18.75" x14ac:dyDescent="0.3">
      <c r="A120" s="96" t="s">
        <v>1722</v>
      </c>
      <c r="B120" s="96" t="s">
        <v>1067</v>
      </c>
      <c r="C120" s="96" t="s">
        <v>1761</v>
      </c>
      <c r="D120" s="97">
        <v>20241125116</v>
      </c>
      <c r="E120" s="102" t="s">
        <v>1121</v>
      </c>
      <c r="F120" s="97" t="s">
        <v>1322</v>
      </c>
      <c r="G120" s="97">
        <v>804</v>
      </c>
      <c r="H120" s="97" t="s">
        <v>1153</v>
      </c>
      <c r="I120" s="97" t="s">
        <v>1762</v>
      </c>
      <c r="J120" s="27" t="s">
        <v>1763</v>
      </c>
      <c r="K120" s="27"/>
      <c r="L120" s="27"/>
    </row>
    <row r="121" spans="1:12" ht="18.75" x14ac:dyDescent="0.3">
      <c r="A121" s="96" t="s">
        <v>1723</v>
      </c>
      <c r="B121" s="96" t="s">
        <v>1027</v>
      </c>
      <c r="C121" s="96" t="s">
        <v>1184</v>
      </c>
      <c r="D121" s="97" t="s">
        <v>1764</v>
      </c>
      <c r="E121" s="102" t="s">
        <v>1121</v>
      </c>
      <c r="F121" s="97" t="s">
        <v>1322</v>
      </c>
      <c r="G121" s="97">
        <v>1357</v>
      </c>
      <c r="H121" s="97" t="s">
        <v>1153</v>
      </c>
      <c r="I121" s="97" t="s">
        <v>1762</v>
      </c>
      <c r="J121" s="27" t="s">
        <v>1763</v>
      </c>
      <c r="K121" s="27"/>
      <c r="L121" s="27"/>
    </row>
    <row r="122" spans="1:12" ht="18.75" x14ac:dyDescent="0.3">
      <c r="A122" s="96" t="s">
        <v>1724</v>
      </c>
      <c r="B122" s="96" t="s">
        <v>1027</v>
      </c>
      <c r="C122" s="96" t="s">
        <v>1031</v>
      </c>
      <c r="D122" s="97" t="s">
        <v>1780</v>
      </c>
      <c r="E122" s="102" t="s">
        <v>1121</v>
      </c>
      <c r="F122" s="97" t="s">
        <v>1322</v>
      </c>
      <c r="G122" s="97">
        <v>2391.5</v>
      </c>
      <c r="H122" s="97" t="s">
        <v>1153</v>
      </c>
      <c r="I122" s="97" t="s">
        <v>1762</v>
      </c>
      <c r="J122" s="27" t="s">
        <v>1781</v>
      </c>
      <c r="K122" s="27"/>
      <c r="L122" s="27"/>
    </row>
    <row r="123" spans="1:12" ht="18.75" x14ac:dyDescent="0.3">
      <c r="A123" s="96" t="s">
        <v>1725</v>
      </c>
      <c r="B123" s="96" t="s">
        <v>1027</v>
      </c>
      <c r="C123" s="96" t="s">
        <v>1031</v>
      </c>
      <c r="D123" s="97" t="s">
        <v>1784</v>
      </c>
      <c r="E123" s="102" t="s">
        <v>1121</v>
      </c>
      <c r="F123" s="97" t="s">
        <v>1322</v>
      </c>
      <c r="G123" s="97" t="s">
        <v>984</v>
      </c>
      <c r="H123" s="97" t="s">
        <v>988</v>
      </c>
      <c r="I123" s="97" t="s">
        <v>1762</v>
      </c>
      <c r="J123" s="27" t="s">
        <v>1785</v>
      </c>
      <c r="K123" s="27"/>
      <c r="L123" s="27"/>
    </row>
    <row r="124" spans="1:12" ht="18.75" x14ac:dyDescent="0.3">
      <c r="A124" s="96" t="s">
        <v>1726</v>
      </c>
      <c r="B124" s="96" t="s">
        <v>1027</v>
      </c>
      <c r="C124" s="96" t="s">
        <v>1791</v>
      </c>
      <c r="D124" s="97" t="s">
        <v>1792</v>
      </c>
      <c r="E124" s="102" t="s">
        <v>1121</v>
      </c>
      <c r="F124" s="97" t="s">
        <v>1322</v>
      </c>
      <c r="G124" s="97" t="s">
        <v>984</v>
      </c>
      <c r="H124" s="97" t="s">
        <v>988</v>
      </c>
      <c r="I124" s="97" t="s">
        <v>1762</v>
      </c>
      <c r="J124" s="27" t="s">
        <v>1793</v>
      </c>
      <c r="K124" s="27"/>
      <c r="L124" s="27"/>
    </row>
    <row r="125" spans="1:12" ht="18.75" x14ac:dyDescent="0.3">
      <c r="A125" s="96" t="s">
        <v>1727</v>
      </c>
      <c r="B125" s="96" t="s">
        <v>1027</v>
      </c>
      <c r="C125" s="96" t="s">
        <v>1031</v>
      </c>
      <c r="D125" s="97" t="s">
        <v>1801</v>
      </c>
      <c r="E125" s="102" t="s">
        <v>1121</v>
      </c>
      <c r="F125" s="97" t="s">
        <v>1322</v>
      </c>
      <c r="G125" s="97" t="s">
        <v>984</v>
      </c>
      <c r="H125" s="97" t="s">
        <v>988</v>
      </c>
      <c r="I125" s="97" t="s">
        <v>1762</v>
      </c>
      <c r="J125" s="27" t="s">
        <v>1800</v>
      </c>
      <c r="K125" s="27"/>
      <c r="L125" s="27"/>
    </row>
    <row r="126" spans="1:12" ht="18.75" x14ac:dyDescent="0.3">
      <c r="A126" s="96" t="s">
        <v>1728</v>
      </c>
      <c r="B126" s="96" t="s">
        <v>1027</v>
      </c>
      <c r="C126" s="96" t="s">
        <v>1036</v>
      </c>
      <c r="D126" s="97" t="s">
        <v>1805</v>
      </c>
      <c r="E126" s="102" t="s">
        <v>1121</v>
      </c>
      <c r="F126" s="97" t="s">
        <v>1322</v>
      </c>
      <c r="G126" s="97" t="s">
        <v>984</v>
      </c>
      <c r="H126" s="97" t="s">
        <v>988</v>
      </c>
      <c r="I126" s="97" t="s">
        <v>1762</v>
      </c>
      <c r="J126" s="27" t="s">
        <v>1806</v>
      </c>
      <c r="K126" s="27"/>
      <c r="L126" s="27"/>
    </row>
    <row r="127" spans="1:12" ht="18.75" x14ac:dyDescent="0.3">
      <c r="A127" s="96" t="s">
        <v>1729</v>
      </c>
      <c r="B127" s="96" t="s">
        <v>1027</v>
      </c>
      <c r="C127" s="96" t="s">
        <v>1812</v>
      </c>
      <c r="D127" s="97" t="s">
        <v>1813</v>
      </c>
      <c r="E127" s="102" t="s">
        <v>1121</v>
      </c>
      <c r="F127" s="97" t="s">
        <v>1322</v>
      </c>
      <c r="G127" s="97" t="s">
        <v>984</v>
      </c>
      <c r="H127" s="97" t="s">
        <v>988</v>
      </c>
      <c r="I127" s="97" t="s">
        <v>1762</v>
      </c>
      <c r="J127" s="27" t="s">
        <v>1814</v>
      </c>
      <c r="K127" s="27"/>
      <c r="L127" s="27"/>
    </row>
    <row r="128" spans="1:12" ht="18.75" x14ac:dyDescent="0.3">
      <c r="A128" s="96" t="s">
        <v>1730</v>
      </c>
      <c r="B128" s="96" t="s">
        <v>1027</v>
      </c>
      <c r="C128" s="96" t="s">
        <v>1197</v>
      </c>
      <c r="D128" s="97" t="s">
        <v>1816</v>
      </c>
      <c r="E128" s="102" t="s">
        <v>1121</v>
      </c>
      <c r="F128" s="97" t="s">
        <v>1322</v>
      </c>
      <c r="G128" s="97" t="s">
        <v>984</v>
      </c>
      <c r="H128" s="97" t="s">
        <v>988</v>
      </c>
      <c r="I128" s="97" t="s">
        <v>1762</v>
      </c>
      <c r="J128" s="27" t="s">
        <v>1817</v>
      </c>
      <c r="K128" s="27"/>
      <c r="L128" s="27"/>
    </row>
    <row r="129" spans="1:12" ht="18.75" x14ac:dyDescent="0.3">
      <c r="A129" s="96" t="s">
        <v>1731</v>
      </c>
      <c r="B129" s="96" t="s">
        <v>1027</v>
      </c>
      <c r="C129" s="96" t="s">
        <v>1031</v>
      </c>
      <c r="D129" s="97" t="s">
        <v>1820</v>
      </c>
      <c r="E129" s="102" t="s">
        <v>1121</v>
      </c>
      <c r="F129" s="97" t="s">
        <v>1322</v>
      </c>
      <c r="G129" s="97" t="s">
        <v>984</v>
      </c>
      <c r="H129" s="97" t="s">
        <v>988</v>
      </c>
      <c r="I129" s="97" t="s">
        <v>1762</v>
      </c>
      <c r="J129" s="27" t="s">
        <v>1821</v>
      </c>
      <c r="K129" s="27"/>
      <c r="L129" s="27"/>
    </row>
    <row r="130" spans="1:12" ht="18.75" x14ac:dyDescent="0.3">
      <c r="A130" s="96" t="s">
        <v>1732</v>
      </c>
      <c r="B130" s="96" t="s">
        <v>1076</v>
      </c>
      <c r="C130" s="96" t="s">
        <v>1830</v>
      </c>
      <c r="D130" s="97" t="s">
        <v>984</v>
      </c>
      <c r="E130" s="102" t="s">
        <v>1121</v>
      </c>
      <c r="F130" s="97" t="s">
        <v>2331</v>
      </c>
      <c r="G130" s="97" t="s">
        <v>984</v>
      </c>
      <c r="H130" s="97" t="s">
        <v>988</v>
      </c>
      <c r="I130" s="97" t="s">
        <v>1762</v>
      </c>
      <c r="J130" s="27" t="s">
        <v>1325</v>
      </c>
      <c r="K130" s="27"/>
      <c r="L130" s="27"/>
    </row>
    <row r="131" spans="1:12" ht="18.75" x14ac:dyDescent="0.3">
      <c r="A131" s="96" t="s">
        <v>1733</v>
      </c>
      <c r="B131" s="96" t="s">
        <v>1027</v>
      </c>
      <c r="C131" s="96" t="s">
        <v>1031</v>
      </c>
      <c r="D131" s="97" t="s">
        <v>1835</v>
      </c>
      <c r="E131" s="102" t="s">
        <v>1121</v>
      </c>
      <c r="F131" s="97" t="s">
        <v>1322</v>
      </c>
      <c r="G131" s="97" t="s">
        <v>984</v>
      </c>
      <c r="H131" s="97" t="s">
        <v>988</v>
      </c>
      <c r="I131" s="97" t="s">
        <v>1762</v>
      </c>
      <c r="J131" s="27" t="s">
        <v>1836</v>
      </c>
      <c r="K131" s="27"/>
      <c r="L131" s="27"/>
    </row>
    <row r="132" spans="1:12" ht="18.75" x14ac:dyDescent="0.3">
      <c r="A132" s="96" t="s">
        <v>1734</v>
      </c>
      <c r="B132" s="96" t="s">
        <v>1027</v>
      </c>
      <c r="C132" s="96" t="s">
        <v>1031</v>
      </c>
      <c r="D132" s="97" t="s">
        <v>1841</v>
      </c>
      <c r="E132" s="102" t="s">
        <v>1121</v>
      </c>
      <c r="F132" s="97" t="s">
        <v>1078</v>
      </c>
      <c r="G132" s="97">
        <v>10889.7</v>
      </c>
      <c r="H132" s="97" t="s">
        <v>988</v>
      </c>
      <c r="I132" s="97" t="s">
        <v>1762</v>
      </c>
      <c r="J132" s="27" t="s">
        <v>1842</v>
      </c>
      <c r="K132" s="27"/>
      <c r="L132" s="27"/>
    </row>
    <row r="133" spans="1:12" ht="18.75" x14ac:dyDescent="0.3">
      <c r="A133" s="96" t="s">
        <v>1735</v>
      </c>
      <c r="B133" s="96" t="s">
        <v>1067</v>
      </c>
      <c r="C133" s="96" t="s">
        <v>1845</v>
      </c>
      <c r="D133" s="97">
        <v>20241125118</v>
      </c>
      <c r="E133" s="102" t="s">
        <v>1121</v>
      </c>
      <c r="F133" s="97" t="s">
        <v>1322</v>
      </c>
      <c r="G133" s="97">
        <v>1142</v>
      </c>
      <c r="H133" s="97" t="s">
        <v>988</v>
      </c>
      <c r="I133" s="97" t="s">
        <v>1762</v>
      </c>
      <c r="J133" s="27" t="s">
        <v>1846</v>
      </c>
      <c r="K133" s="27"/>
      <c r="L133" s="27"/>
    </row>
    <row r="134" spans="1:12" ht="18.75" x14ac:dyDescent="0.3">
      <c r="A134" s="96" t="s">
        <v>1736</v>
      </c>
      <c r="B134" s="96" t="s">
        <v>1027</v>
      </c>
      <c r="C134" s="96" t="s">
        <v>1031</v>
      </c>
      <c r="D134" s="97" t="s">
        <v>1847</v>
      </c>
      <c r="E134" s="102" t="s">
        <v>1121</v>
      </c>
      <c r="F134" s="97" t="s">
        <v>1322</v>
      </c>
      <c r="G134" s="97">
        <v>13180.5</v>
      </c>
      <c r="H134" s="97" t="s">
        <v>988</v>
      </c>
      <c r="I134" s="97" t="s">
        <v>1762</v>
      </c>
      <c r="J134" s="27" t="s">
        <v>1846</v>
      </c>
      <c r="K134" s="27"/>
      <c r="L134" s="27"/>
    </row>
    <row r="135" spans="1:12" ht="18.75" x14ac:dyDescent="0.3">
      <c r="A135" s="96" t="s">
        <v>1737</v>
      </c>
      <c r="B135" s="96" t="s">
        <v>1067</v>
      </c>
      <c r="C135" s="96" t="s">
        <v>984</v>
      </c>
      <c r="D135" s="97" t="s">
        <v>984</v>
      </c>
      <c r="E135" s="102" t="s">
        <v>1121</v>
      </c>
      <c r="F135" s="97" t="s">
        <v>1322</v>
      </c>
      <c r="G135" s="97" t="s">
        <v>984</v>
      </c>
      <c r="H135" s="97" t="s">
        <v>988</v>
      </c>
      <c r="I135" s="97" t="s">
        <v>984</v>
      </c>
      <c r="J135" s="27" t="s">
        <v>1851</v>
      </c>
      <c r="K135" s="27"/>
      <c r="L135" s="27"/>
    </row>
    <row r="136" spans="1:12" ht="18.75" x14ac:dyDescent="0.3">
      <c r="A136" s="96" t="s">
        <v>1738</v>
      </c>
      <c r="B136" s="96" t="s">
        <v>1067</v>
      </c>
      <c r="C136" s="96" t="s">
        <v>1009</v>
      </c>
      <c r="D136" s="97" t="s">
        <v>984</v>
      </c>
      <c r="E136" s="102" t="s">
        <v>1121</v>
      </c>
      <c r="F136" s="97" t="s">
        <v>1078</v>
      </c>
      <c r="G136" s="97" t="s">
        <v>984</v>
      </c>
      <c r="H136" s="97" t="s">
        <v>987</v>
      </c>
      <c r="I136" s="97" t="s">
        <v>1239</v>
      </c>
      <c r="J136" s="27" t="s">
        <v>1852</v>
      </c>
      <c r="K136" s="27"/>
      <c r="L136" s="27"/>
    </row>
    <row r="137" spans="1:12" ht="18.75" x14ac:dyDescent="0.3">
      <c r="A137" s="96" t="s">
        <v>1739</v>
      </c>
      <c r="B137" s="96" t="s">
        <v>1067</v>
      </c>
      <c r="C137" s="96" t="s">
        <v>984</v>
      </c>
      <c r="D137" s="97" t="s">
        <v>984</v>
      </c>
      <c r="E137" s="102" t="s">
        <v>1121</v>
      </c>
      <c r="F137" s="97" t="s">
        <v>1322</v>
      </c>
      <c r="G137" s="97" t="s">
        <v>984</v>
      </c>
      <c r="H137" s="97" t="s">
        <v>988</v>
      </c>
      <c r="I137" s="97" t="s">
        <v>984</v>
      </c>
      <c r="J137" s="27" t="s">
        <v>1853</v>
      </c>
      <c r="K137" s="27"/>
      <c r="L137" s="27"/>
    </row>
    <row r="138" spans="1:12" ht="18.75" x14ac:dyDescent="0.3">
      <c r="A138" s="96" t="s">
        <v>1740</v>
      </c>
      <c r="B138" s="96" t="s">
        <v>1027</v>
      </c>
      <c r="C138" s="96" t="s">
        <v>984</v>
      </c>
      <c r="D138" s="97" t="s">
        <v>984</v>
      </c>
      <c r="E138" s="102" t="s">
        <v>1121</v>
      </c>
      <c r="F138" s="97" t="s">
        <v>1322</v>
      </c>
      <c r="G138" s="97" t="s">
        <v>984</v>
      </c>
      <c r="H138" s="97" t="s">
        <v>988</v>
      </c>
      <c r="I138" s="97" t="s">
        <v>984</v>
      </c>
      <c r="J138" s="27" t="s">
        <v>1853</v>
      </c>
      <c r="K138" s="27"/>
      <c r="L138" s="27"/>
    </row>
    <row r="139" spans="1:12" ht="18.75" x14ac:dyDescent="0.3">
      <c r="A139" s="96" t="s">
        <v>1741</v>
      </c>
      <c r="B139" s="96" t="s">
        <v>2186</v>
      </c>
      <c r="C139" s="96" t="s">
        <v>1828</v>
      </c>
      <c r="D139" s="97">
        <v>20241125181</v>
      </c>
      <c r="E139" s="102" t="s">
        <v>1121</v>
      </c>
      <c r="F139" s="97" t="s">
        <v>1322</v>
      </c>
      <c r="G139" s="97">
        <v>192</v>
      </c>
      <c r="H139" s="97" t="s">
        <v>988</v>
      </c>
      <c r="I139" s="97" t="s">
        <v>2128</v>
      </c>
      <c r="J139" s="27" t="s">
        <v>1857</v>
      </c>
      <c r="K139" s="117"/>
      <c r="L139" s="117"/>
    </row>
    <row r="140" spans="1:12" ht="18.75" x14ac:dyDescent="0.3">
      <c r="A140" s="96" t="s">
        <v>1742</v>
      </c>
      <c r="B140" s="96" t="s">
        <v>1067</v>
      </c>
      <c r="C140" s="96" t="s">
        <v>984</v>
      </c>
      <c r="D140" s="97" t="s">
        <v>1858</v>
      </c>
      <c r="E140" s="102" t="s">
        <v>1121</v>
      </c>
      <c r="F140" s="97" t="s">
        <v>1322</v>
      </c>
      <c r="G140" s="97" t="s">
        <v>984</v>
      </c>
      <c r="H140" s="97" t="s">
        <v>988</v>
      </c>
      <c r="I140" s="97" t="s">
        <v>984</v>
      </c>
      <c r="J140" s="27" t="s">
        <v>1859</v>
      </c>
      <c r="K140" s="27"/>
      <c r="L140" s="27"/>
    </row>
    <row r="141" spans="1:12" ht="18.75" x14ac:dyDescent="0.3">
      <c r="A141" s="96" t="s">
        <v>1743</v>
      </c>
      <c r="B141" s="96" t="s">
        <v>1027</v>
      </c>
      <c r="C141" s="96" t="s">
        <v>984</v>
      </c>
      <c r="D141" s="97" t="s">
        <v>1860</v>
      </c>
      <c r="E141" s="102" t="s">
        <v>1121</v>
      </c>
      <c r="F141" s="97" t="s">
        <v>1322</v>
      </c>
      <c r="G141" s="97" t="s">
        <v>984</v>
      </c>
      <c r="H141" s="97" t="s">
        <v>988</v>
      </c>
      <c r="I141" s="97" t="s">
        <v>984</v>
      </c>
      <c r="J141" s="27" t="s">
        <v>1859</v>
      </c>
      <c r="K141" s="27"/>
      <c r="L141" s="27"/>
    </row>
    <row r="142" spans="1:12" ht="18.75" x14ac:dyDescent="0.3">
      <c r="A142" s="96" t="s">
        <v>1744</v>
      </c>
      <c r="B142" s="96" t="s">
        <v>1067</v>
      </c>
      <c r="C142" s="96" t="s">
        <v>984</v>
      </c>
      <c r="D142" s="97" t="s">
        <v>1862</v>
      </c>
      <c r="E142" s="102" t="s">
        <v>1121</v>
      </c>
      <c r="F142" s="97" t="s">
        <v>1322</v>
      </c>
      <c r="G142" s="97" t="s">
        <v>984</v>
      </c>
      <c r="H142" s="97" t="s">
        <v>987</v>
      </c>
      <c r="I142" s="97" t="s">
        <v>984</v>
      </c>
      <c r="J142" s="27" t="s">
        <v>1863</v>
      </c>
      <c r="K142" s="27"/>
      <c r="L142" s="27"/>
    </row>
    <row r="143" spans="1:12" ht="18.75" x14ac:dyDescent="0.3">
      <c r="A143" s="96" t="s">
        <v>1745</v>
      </c>
      <c r="B143" s="96" t="s">
        <v>1027</v>
      </c>
      <c r="C143" s="96" t="s">
        <v>984</v>
      </c>
      <c r="D143" s="97" t="s">
        <v>1861</v>
      </c>
      <c r="E143" s="102" t="s">
        <v>1121</v>
      </c>
      <c r="F143" s="97" t="s">
        <v>1322</v>
      </c>
      <c r="G143" s="97" t="s">
        <v>984</v>
      </c>
      <c r="H143" s="97" t="s">
        <v>987</v>
      </c>
      <c r="I143" s="97" t="s">
        <v>984</v>
      </c>
      <c r="J143" s="27" t="s">
        <v>1863</v>
      </c>
      <c r="K143" s="27"/>
      <c r="L143" s="27"/>
    </row>
    <row r="144" spans="1:12" ht="18.75" x14ac:dyDescent="0.3">
      <c r="A144" s="96" t="s">
        <v>1746</v>
      </c>
      <c r="B144" s="96" t="s">
        <v>1067</v>
      </c>
      <c r="C144" s="96" t="s">
        <v>1072</v>
      </c>
      <c r="D144" s="97" t="s">
        <v>1864</v>
      </c>
      <c r="E144" s="102" t="s">
        <v>1121</v>
      </c>
      <c r="F144" s="97" t="s">
        <v>1322</v>
      </c>
      <c r="G144" s="97" t="s">
        <v>984</v>
      </c>
      <c r="H144" s="97" t="s">
        <v>1166</v>
      </c>
      <c r="I144" s="97" t="s">
        <v>984</v>
      </c>
      <c r="J144" s="27" t="s">
        <v>1865</v>
      </c>
      <c r="K144" s="27"/>
      <c r="L144" s="27"/>
    </row>
    <row r="145" spans="1:12" ht="18.75" x14ac:dyDescent="0.3">
      <c r="A145" s="96" t="s">
        <v>1747</v>
      </c>
      <c r="B145" s="96" t="s">
        <v>1027</v>
      </c>
      <c r="C145" s="96" t="s">
        <v>1866</v>
      </c>
      <c r="D145" s="97" t="s">
        <v>1867</v>
      </c>
      <c r="E145" s="102" t="s">
        <v>1121</v>
      </c>
      <c r="F145" s="97" t="s">
        <v>1322</v>
      </c>
      <c r="G145" s="97" t="s">
        <v>984</v>
      </c>
      <c r="H145" s="97" t="s">
        <v>1166</v>
      </c>
      <c r="I145" s="97" t="s">
        <v>984</v>
      </c>
      <c r="J145" s="27" t="s">
        <v>1865</v>
      </c>
      <c r="K145" s="27"/>
      <c r="L145" s="27"/>
    </row>
    <row r="146" spans="1:12" ht="18.75" x14ac:dyDescent="0.3">
      <c r="A146" s="96" t="s">
        <v>1748</v>
      </c>
      <c r="B146" s="96" t="s">
        <v>1067</v>
      </c>
      <c r="C146" s="96" t="s">
        <v>1869</v>
      </c>
      <c r="D146" s="97" t="s">
        <v>984</v>
      </c>
      <c r="E146" s="102" t="s">
        <v>1166</v>
      </c>
      <c r="F146" s="97" t="s">
        <v>1166</v>
      </c>
      <c r="G146" s="97" t="s">
        <v>984</v>
      </c>
      <c r="H146" s="97" t="s">
        <v>1166</v>
      </c>
      <c r="I146" s="97" t="s">
        <v>1009</v>
      </c>
      <c r="J146" s="27" t="s">
        <v>1868</v>
      </c>
      <c r="K146" s="27"/>
      <c r="L146" s="27"/>
    </row>
    <row r="147" spans="1:12" ht="18.75" x14ac:dyDescent="0.3">
      <c r="A147" s="96" t="s">
        <v>1749</v>
      </c>
      <c r="B147" s="96" t="s">
        <v>1067</v>
      </c>
      <c r="C147" s="96" t="s">
        <v>1870</v>
      </c>
      <c r="D147" s="97" t="s">
        <v>984</v>
      </c>
      <c r="E147" s="102" t="s">
        <v>1121</v>
      </c>
      <c r="F147" s="97" t="s">
        <v>1322</v>
      </c>
      <c r="G147" s="97" t="s">
        <v>984</v>
      </c>
      <c r="H147" s="97" t="s">
        <v>987</v>
      </c>
      <c r="I147" s="97" t="s">
        <v>984</v>
      </c>
      <c r="J147" s="27" t="s">
        <v>1871</v>
      </c>
      <c r="K147" s="27"/>
      <c r="L147" s="27"/>
    </row>
    <row r="148" spans="1:12" ht="18.75" x14ac:dyDescent="0.3">
      <c r="A148" s="96" t="s">
        <v>1750</v>
      </c>
      <c r="B148" s="96" t="s">
        <v>1027</v>
      </c>
      <c r="C148" s="96" t="s">
        <v>1872</v>
      </c>
      <c r="D148" s="97" t="s">
        <v>984</v>
      </c>
      <c r="E148" s="102" t="s">
        <v>1121</v>
      </c>
      <c r="F148" s="97" t="s">
        <v>1322</v>
      </c>
      <c r="G148" s="97" t="s">
        <v>984</v>
      </c>
      <c r="H148" s="97" t="s">
        <v>987</v>
      </c>
      <c r="I148" s="97" t="s">
        <v>984</v>
      </c>
      <c r="J148" s="27" t="s">
        <v>1871</v>
      </c>
      <c r="K148" s="27"/>
      <c r="L148" s="27"/>
    </row>
    <row r="149" spans="1:12" ht="18.75" x14ac:dyDescent="0.3">
      <c r="A149" s="96" t="s">
        <v>1751</v>
      </c>
      <c r="B149" s="96" t="s">
        <v>1067</v>
      </c>
      <c r="C149" s="96" t="s">
        <v>1874</v>
      </c>
      <c r="D149" s="97" t="s">
        <v>984</v>
      </c>
      <c r="E149" s="102" t="s">
        <v>1881</v>
      </c>
      <c r="F149" s="102" t="s">
        <v>1881</v>
      </c>
      <c r="G149" s="97" t="s">
        <v>984</v>
      </c>
      <c r="H149" s="97" t="s">
        <v>987</v>
      </c>
      <c r="I149" s="97" t="s">
        <v>1875</v>
      </c>
      <c r="J149" s="27" t="s">
        <v>1876</v>
      </c>
      <c r="K149" s="27"/>
      <c r="L149" s="27"/>
    </row>
    <row r="150" spans="1:12" ht="18.75" x14ac:dyDescent="0.3">
      <c r="A150" s="99" t="s">
        <v>1878</v>
      </c>
      <c r="B150" s="96" t="s">
        <v>1027</v>
      </c>
      <c r="C150" s="96" t="s">
        <v>1184</v>
      </c>
      <c r="D150" s="96" t="s">
        <v>1877</v>
      </c>
      <c r="E150" s="102" t="s">
        <v>1881</v>
      </c>
      <c r="F150" s="102" t="s">
        <v>1881</v>
      </c>
      <c r="G150" s="96" t="s">
        <v>984</v>
      </c>
      <c r="H150" s="96" t="s">
        <v>987</v>
      </c>
      <c r="I150" s="96" t="s">
        <v>1875</v>
      </c>
      <c r="J150" s="27" t="s">
        <v>1876</v>
      </c>
      <c r="K150" s="27"/>
      <c r="L150" s="27"/>
    </row>
    <row r="151" spans="1:12" s="56" customFormat="1" ht="18.75" x14ac:dyDescent="0.3">
      <c r="A151" s="155" t="s">
        <v>1879</v>
      </c>
      <c r="B151" s="156" t="s">
        <v>1076</v>
      </c>
      <c r="C151" s="156" t="s">
        <v>1077</v>
      </c>
      <c r="D151" s="156" t="s">
        <v>984</v>
      </c>
      <c r="E151" s="157" t="s">
        <v>2476</v>
      </c>
      <c r="F151" s="50" t="s">
        <v>2477</v>
      </c>
      <c r="G151" s="156" t="s">
        <v>1239</v>
      </c>
      <c r="H151" s="156" t="s">
        <v>1153</v>
      </c>
      <c r="I151" s="156" t="s">
        <v>984</v>
      </c>
      <c r="J151" s="30" t="s">
        <v>984</v>
      </c>
      <c r="K151" s="30"/>
      <c r="L151" s="158">
        <v>45895</v>
      </c>
    </row>
    <row r="152" spans="1:12" ht="18.75" x14ac:dyDescent="0.3">
      <c r="A152" s="99" t="s">
        <v>1882</v>
      </c>
      <c r="B152" s="96" t="s">
        <v>1067</v>
      </c>
      <c r="C152" s="96" t="s">
        <v>1072</v>
      </c>
      <c r="D152" s="96" t="s">
        <v>2169</v>
      </c>
      <c r="E152" s="102" t="s">
        <v>1121</v>
      </c>
      <c r="F152" s="97" t="s">
        <v>1078</v>
      </c>
      <c r="G152" s="96" t="s">
        <v>984</v>
      </c>
      <c r="H152" s="96" t="s">
        <v>1153</v>
      </c>
      <c r="I152" s="96" t="s">
        <v>2128</v>
      </c>
      <c r="J152" s="27" t="s">
        <v>1883</v>
      </c>
      <c r="K152" s="109"/>
      <c r="L152" s="109"/>
    </row>
    <row r="153" spans="1:12" ht="18.75" x14ac:dyDescent="0.3">
      <c r="A153" s="99" t="s">
        <v>1889</v>
      </c>
      <c r="B153" s="96" t="s">
        <v>1067</v>
      </c>
      <c r="C153" s="96" t="s">
        <v>1828</v>
      </c>
      <c r="D153" s="96">
        <v>20240827097</v>
      </c>
      <c r="E153" s="102" t="s">
        <v>1121</v>
      </c>
      <c r="F153" s="97" t="s">
        <v>1322</v>
      </c>
      <c r="G153" s="96">
        <v>769</v>
      </c>
      <c r="H153" s="96" t="s">
        <v>988</v>
      </c>
      <c r="I153" s="96" t="s">
        <v>1890</v>
      </c>
      <c r="J153" s="27" t="s">
        <v>1891</v>
      </c>
      <c r="K153" s="27"/>
      <c r="L153" s="27"/>
    </row>
    <row r="154" spans="1:12" ht="18.75" x14ac:dyDescent="0.3">
      <c r="A154" s="99" t="s">
        <v>1899</v>
      </c>
      <c r="B154" s="96" t="s">
        <v>1067</v>
      </c>
      <c r="C154" s="96" t="s">
        <v>984</v>
      </c>
      <c r="D154" s="96" t="s">
        <v>984</v>
      </c>
      <c r="E154" s="102" t="s">
        <v>1121</v>
      </c>
      <c r="F154" s="97" t="s">
        <v>1322</v>
      </c>
      <c r="G154" s="96" t="s">
        <v>984</v>
      </c>
      <c r="H154" s="96" t="s">
        <v>987</v>
      </c>
      <c r="I154" s="96" t="s">
        <v>1239</v>
      </c>
      <c r="J154" s="27" t="s">
        <v>1900</v>
      </c>
      <c r="K154" s="27"/>
      <c r="L154" s="27"/>
    </row>
    <row r="155" spans="1:12" ht="18.75" x14ac:dyDescent="0.3">
      <c r="A155" s="99" t="s">
        <v>1901</v>
      </c>
      <c r="B155" s="96" t="s">
        <v>1067</v>
      </c>
      <c r="C155" s="96" t="s">
        <v>1828</v>
      </c>
      <c r="D155" s="96">
        <v>20230705042</v>
      </c>
      <c r="E155" s="102" t="s">
        <v>1121</v>
      </c>
      <c r="F155" s="97" t="s">
        <v>1322</v>
      </c>
      <c r="G155" s="96" t="s">
        <v>984</v>
      </c>
      <c r="H155" s="96" t="s">
        <v>1166</v>
      </c>
      <c r="I155" s="96" t="s">
        <v>1239</v>
      </c>
      <c r="J155" s="27" t="s">
        <v>1913</v>
      </c>
      <c r="K155" s="27"/>
      <c r="L155" s="27"/>
    </row>
    <row r="156" spans="1:12" ht="18.75" x14ac:dyDescent="0.3">
      <c r="A156" s="99" t="s">
        <v>1902</v>
      </c>
      <c r="B156" s="96" t="s">
        <v>1027</v>
      </c>
      <c r="C156" s="96" t="s">
        <v>1036</v>
      </c>
      <c r="D156" s="96" t="s">
        <v>1914</v>
      </c>
      <c r="E156" s="102" t="s">
        <v>1121</v>
      </c>
      <c r="F156" s="97" t="s">
        <v>1322</v>
      </c>
      <c r="G156" s="96" t="s">
        <v>1239</v>
      </c>
      <c r="H156" s="96" t="s">
        <v>1166</v>
      </c>
      <c r="I156" s="96" t="s">
        <v>984</v>
      </c>
      <c r="J156" s="27" t="s">
        <v>1913</v>
      </c>
      <c r="K156" s="27"/>
      <c r="L156" s="27"/>
    </row>
    <row r="157" spans="1:12" ht="18.75" x14ac:dyDescent="0.3">
      <c r="A157" s="99" t="s">
        <v>1903</v>
      </c>
      <c r="B157" s="96" t="s">
        <v>1067</v>
      </c>
      <c r="C157" s="96" t="s">
        <v>984</v>
      </c>
      <c r="D157" s="96" t="s">
        <v>984</v>
      </c>
      <c r="E157" s="102" t="s">
        <v>1121</v>
      </c>
      <c r="F157" s="97" t="s">
        <v>1322</v>
      </c>
      <c r="G157" s="96" t="s">
        <v>984</v>
      </c>
      <c r="H157" s="96" t="s">
        <v>988</v>
      </c>
      <c r="I157" s="96" t="s">
        <v>984</v>
      </c>
      <c r="J157" s="27" t="s">
        <v>1915</v>
      </c>
      <c r="K157" s="27"/>
      <c r="L157" s="27"/>
    </row>
    <row r="158" spans="1:12" ht="18.75" x14ac:dyDescent="0.3">
      <c r="A158" s="99" t="s">
        <v>1904</v>
      </c>
      <c r="B158" s="96" t="s">
        <v>1027</v>
      </c>
      <c r="C158" s="96" t="s">
        <v>984</v>
      </c>
      <c r="D158" s="96" t="s">
        <v>984</v>
      </c>
      <c r="E158" s="102" t="s">
        <v>1121</v>
      </c>
      <c r="F158" s="97" t="s">
        <v>1322</v>
      </c>
      <c r="G158" s="96" t="s">
        <v>1009</v>
      </c>
      <c r="H158" s="96" t="s">
        <v>988</v>
      </c>
      <c r="I158" s="96" t="s">
        <v>984</v>
      </c>
      <c r="J158" s="27" t="s">
        <v>1917</v>
      </c>
      <c r="K158" s="27"/>
      <c r="L158" s="27"/>
    </row>
    <row r="159" spans="1:12" ht="18.75" x14ac:dyDescent="0.3">
      <c r="A159" s="99" t="s">
        <v>1905</v>
      </c>
      <c r="B159" s="96" t="s">
        <v>1027</v>
      </c>
      <c r="C159" s="96" t="s">
        <v>984</v>
      </c>
      <c r="D159" s="96" t="s">
        <v>984</v>
      </c>
      <c r="E159" s="102" t="s">
        <v>1121</v>
      </c>
      <c r="F159" s="97" t="s">
        <v>1322</v>
      </c>
      <c r="G159" s="96" t="s">
        <v>984</v>
      </c>
      <c r="H159" s="96" t="s">
        <v>988</v>
      </c>
      <c r="I159" s="96" t="s">
        <v>984</v>
      </c>
      <c r="J159" s="27" t="s">
        <v>1939</v>
      </c>
      <c r="K159" s="27"/>
      <c r="L159" s="27"/>
    </row>
    <row r="160" spans="1:12" ht="18.75" x14ac:dyDescent="0.3">
      <c r="A160" s="99" t="s">
        <v>1906</v>
      </c>
      <c r="B160" s="96" t="s">
        <v>1027</v>
      </c>
      <c r="C160" s="96" t="s">
        <v>107</v>
      </c>
      <c r="D160" s="96" t="s">
        <v>2125</v>
      </c>
      <c r="E160" s="102" t="s">
        <v>1121</v>
      </c>
      <c r="F160" s="97" t="s">
        <v>1322</v>
      </c>
      <c r="G160" s="96">
        <v>12304</v>
      </c>
      <c r="H160" s="96" t="s">
        <v>1153</v>
      </c>
      <c r="I160" s="113">
        <v>45888</v>
      </c>
      <c r="J160" s="27" t="s">
        <v>1940</v>
      </c>
      <c r="K160" s="27"/>
      <c r="L160" s="27"/>
    </row>
    <row r="161" spans="1:12" ht="18.75" x14ac:dyDescent="0.3">
      <c r="A161" s="99" t="s">
        <v>1907</v>
      </c>
      <c r="B161" s="96" t="s">
        <v>1027</v>
      </c>
      <c r="C161" s="96" t="s">
        <v>984</v>
      </c>
      <c r="D161" s="96" t="s">
        <v>984</v>
      </c>
      <c r="E161" s="102" t="s">
        <v>1121</v>
      </c>
      <c r="F161" s="97" t="s">
        <v>1322</v>
      </c>
      <c r="G161" s="96" t="s">
        <v>984</v>
      </c>
      <c r="H161" s="96" t="s">
        <v>988</v>
      </c>
      <c r="I161" s="96" t="s">
        <v>984</v>
      </c>
      <c r="J161" s="27" t="s">
        <v>1941</v>
      </c>
      <c r="K161" s="27"/>
      <c r="L161" s="27"/>
    </row>
    <row r="162" spans="1:12" ht="18.75" x14ac:dyDescent="0.3">
      <c r="A162" s="99" t="s">
        <v>1908</v>
      </c>
      <c r="B162" s="96" t="s">
        <v>1027</v>
      </c>
      <c r="C162" s="96" t="s">
        <v>984</v>
      </c>
      <c r="D162" s="96" t="s">
        <v>984</v>
      </c>
      <c r="E162" s="102" t="s">
        <v>1121</v>
      </c>
      <c r="F162" s="97" t="s">
        <v>1322</v>
      </c>
      <c r="G162" s="96" t="s">
        <v>984</v>
      </c>
      <c r="H162" s="96" t="s">
        <v>988</v>
      </c>
      <c r="I162" s="96" t="s">
        <v>984</v>
      </c>
      <c r="J162" s="27" t="s">
        <v>1942</v>
      </c>
      <c r="K162" s="27"/>
      <c r="L162" s="27"/>
    </row>
    <row r="163" spans="1:12" ht="18.75" x14ac:dyDescent="0.3">
      <c r="A163" s="99" t="s">
        <v>1909</v>
      </c>
      <c r="B163" s="96" t="s">
        <v>1027</v>
      </c>
      <c r="C163" s="96" t="s">
        <v>984</v>
      </c>
      <c r="D163" s="96" t="s">
        <v>984</v>
      </c>
      <c r="E163" s="102" t="s">
        <v>1121</v>
      </c>
      <c r="F163" s="97" t="s">
        <v>1322</v>
      </c>
      <c r="G163" s="96" t="s">
        <v>984</v>
      </c>
      <c r="H163" s="96" t="s">
        <v>988</v>
      </c>
      <c r="I163" s="96" t="s">
        <v>984</v>
      </c>
      <c r="J163" s="27" t="s">
        <v>1943</v>
      </c>
      <c r="K163" s="27"/>
      <c r="L163" s="27"/>
    </row>
    <row r="164" spans="1:12" ht="18.75" x14ac:dyDescent="0.3">
      <c r="A164" s="99" t="s">
        <v>1910</v>
      </c>
      <c r="B164" s="96" t="s">
        <v>1027</v>
      </c>
      <c r="C164" s="96" t="s">
        <v>984</v>
      </c>
      <c r="D164" s="96" t="s">
        <v>984</v>
      </c>
      <c r="E164" s="102" t="s">
        <v>1121</v>
      </c>
      <c r="F164" s="97" t="s">
        <v>1322</v>
      </c>
      <c r="G164" s="96" t="s">
        <v>984</v>
      </c>
      <c r="H164" s="96" t="s">
        <v>987</v>
      </c>
      <c r="I164" s="96" t="s">
        <v>984</v>
      </c>
      <c r="J164" s="27" t="s">
        <v>1967</v>
      </c>
      <c r="K164" s="27"/>
      <c r="L164" s="27"/>
    </row>
    <row r="165" spans="1:12" ht="18.75" x14ac:dyDescent="0.3">
      <c r="A165" s="99" t="s">
        <v>1911</v>
      </c>
      <c r="B165" s="96" t="s">
        <v>1027</v>
      </c>
      <c r="C165" s="96" t="s">
        <v>984</v>
      </c>
      <c r="D165" s="96" t="s">
        <v>984</v>
      </c>
      <c r="E165" s="102" t="s">
        <v>1121</v>
      </c>
      <c r="F165" s="97" t="s">
        <v>1322</v>
      </c>
      <c r="G165" s="96" t="s">
        <v>984</v>
      </c>
      <c r="H165" s="96" t="s">
        <v>987</v>
      </c>
      <c r="I165" s="96" t="s">
        <v>984</v>
      </c>
      <c r="J165" s="27" t="s">
        <v>1968</v>
      </c>
      <c r="K165" s="27"/>
      <c r="L165" s="27"/>
    </row>
    <row r="166" spans="1:12" ht="18.75" x14ac:dyDescent="0.3">
      <c r="A166" s="99" t="s">
        <v>1912</v>
      </c>
      <c r="B166" s="96" t="s">
        <v>1027</v>
      </c>
      <c r="C166" s="96" t="s">
        <v>984</v>
      </c>
      <c r="D166" s="96" t="s">
        <v>984</v>
      </c>
      <c r="E166" s="102" t="s">
        <v>1121</v>
      </c>
      <c r="F166" s="97" t="s">
        <v>1322</v>
      </c>
      <c r="G166" s="96" t="s">
        <v>984</v>
      </c>
      <c r="H166" s="96" t="s">
        <v>987</v>
      </c>
      <c r="I166" s="96" t="s">
        <v>984</v>
      </c>
      <c r="J166" s="27" t="s">
        <v>1970</v>
      </c>
      <c r="K166" s="27"/>
      <c r="L166" s="27"/>
    </row>
    <row r="167" spans="1:12" ht="18.75" x14ac:dyDescent="0.3">
      <c r="A167" s="99" t="s">
        <v>1973</v>
      </c>
      <c r="B167" s="96" t="s">
        <v>1027</v>
      </c>
      <c r="C167" s="96" t="s">
        <v>984</v>
      </c>
      <c r="D167" s="96" t="s">
        <v>984</v>
      </c>
      <c r="E167" s="102" t="s">
        <v>1121</v>
      </c>
      <c r="F167" s="97" t="s">
        <v>1322</v>
      </c>
      <c r="G167" s="96" t="s">
        <v>984</v>
      </c>
      <c r="H167" s="96" t="s">
        <v>987</v>
      </c>
      <c r="I167" s="96" t="s">
        <v>984</v>
      </c>
      <c r="J167" s="27" t="s">
        <v>1975</v>
      </c>
      <c r="K167" s="27"/>
      <c r="L167" s="27"/>
    </row>
    <row r="168" spans="1:12" ht="18.75" x14ac:dyDescent="0.3">
      <c r="A168" s="99" t="s">
        <v>1979</v>
      </c>
      <c r="B168" s="96" t="s">
        <v>1027</v>
      </c>
      <c r="C168" s="96" t="s">
        <v>984</v>
      </c>
      <c r="D168" s="96" t="s">
        <v>984</v>
      </c>
      <c r="E168" s="102" t="s">
        <v>1121</v>
      </c>
      <c r="F168" s="97" t="s">
        <v>1322</v>
      </c>
      <c r="G168" s="96" t="s">
        <v>984</v>
      </c>
      <c r="H168" s="96" t="s">
        <v>988</v>
      </c>
      <c r="I168" s="96" t="s">
        <v>984</v>
      </c>
      <c r="J168" s="27" t="s">
        <v>1995</v>
      </c>
      <c r="K168" s="27"/>
      <c r="L168" s="27"/>
    </row>
    <row r="169" spans="1:12" ht="18.75" x14ac:dyDescent="0.3">
      <c r="A169" s="99" t="s">
        <v>1980</v>
      </c>
      <c r="B169" s="96" t="s">
        <v>1119</v>
      </c>
      <c r="C169" s="96" t="s">
        <v>2460</v>
      </c>
      <c r="D169" s="96">
        <v>22111363330</v>
      </c>
      <c r="E169" s="102" t="s">
        <v>1121</v>
      </c>
      <c r="F169" s="97" t="s">
        <v>1322</v>
      </c>
      <c r="G169" s="96" t="s">
        <v>984</v>
      </c>
      <c r="H169" s="96" t="s">
        <v>987</v>
      </c>
      <c r="I169" s="96" t="s">
        <v>2461</v>
      </c>
      <c r="J169" s="27" t="s">
        <v>1996</v>
      </c>
      <c r="K169" s="27"/>
      <c r="L169" s="27"/>
    </row>
    <row r="170" spans="1:12" ht="18.75" x14ac:dyDescent="0.3">
      <c r="A170" s="99" t="s">
        <v>1981</v>
      </c>
      <c r="B170" s="96" t="s">
        <v>1027</v>
      </c>
      <c r="C170" s="96" t="s">
        <v>2474</v>
      </c>
      <c r="D170" s="96" t="s">
        <v>2475</v>
      </c>
      <c r="E170" s="102" t="s">
        <v>1121</v>
      </c>
      <c r="F170" s="97" t="s">
        <v>1322</v>
      </c>
      <c r="G170" s="96">
        <v>207</v>
      </c>
      <c r="H170" s="96" t="s">
        <v>988</v>
      </c>
      <c r="I170" s="96" t="s">
        <v>2456</v>
      </c>
      <c r="J170" s="27" t="s">
        <v>1997</v>
      </c>
      <c r="K170" s="27"/>
      <c r="L170" s="27"/>
    </row>
    <row r="171" spans="1:12" ht="18.75" x14ac:dyDescent="0.3">
      <c r="A171" s="99" t="s">
        <v>1982</v>
      </c>
      <c r="B171" s="96" t="s">
        <v>1027</v>
      </c>
      <c r="C171" s="96" t="s">
        <v>1874</v>
      </c>
      <c r="D171" s="96" t="s">
        <v>2382</v>
      </c>
      <c r="E171" s="102" t="s">
        <v>1121</v>
      </c>
      <c r="F171" s="97" t="s">
        <v>1322</v>
      </c>
      <c r="G171" s="96">
        <v>5409.2</v>
      </c>
      <c r="H171" s="96" t="s">
        <v>1153</v>
      </c>
      <c r="I171" s="96" t="s">
        <v>2128</v>
      </c>
      <c r="J171" s="27" t="s">
        <v>2381</v>
      </c>
      <c r="K171" s="27"/>
      <c r="L171" s="27"/>
    </row>
    <row r="172" spans="1:12" ht="18.75" x14ac:dyDescent="0.3">
      <c r="A172" s="99" t="s">
        <v>1983</v>
      </c>
      <c r="B172" s="96" t="s">
        <v>1027</v>
      </c>
      <c r="C172" s="96" t="s">
        <v>984</v>
      </c>
      <c r="D172" s="96" t="s">
        <v>984</v>
      </c>
      <c r="E172" s="102" t="s">
        <v>1121</v>
      </c>
      <c r="F172" s="97" t="s">
        <v>1322</v>
      </c>
      <c r="G172" s="96" t="s">
        <v>984</v>
      </c>
      <c r="H172" s="96" t="s">
        <v>987</v>
      </c>
      <c r="I172" s="96" t="s">
        <v>984</v>
      </c>
      <c r="J172" s="27" t="s">
        <v>1998</v>
      </c>
      <c r="K172" s="27"/>
      <c r="L172" s="27"/>
    </row>
    <row r="173" spans="1:12" ht="18.75" x14ac:dyDescent="0.3">
      <c r="A173" s="99" t="s">
        <v>1984</v>
      </c>
      <c r="B173" s="96" t="s">
        <v>1027</v>
      </c>
      <c r="C173" s="96" t="s">
        <v>984</v>
      </c>
      <c r="D173" s="96" t="s">
        <v>984</v>
      </c>
      <c r="E173" s="102" t="s">
        <v>1121</v>
      </c>
      <c r="F173" s="97" t="s">
        <v>1322</v>
      </c>
      <c r="G173" s="96" t="s">
        <v>984</v>
      </c>
      <c r="H173" s="96" t="s">
        <v>987</v>
      </c>
      <c r="I173" s="96" t="s">
        <v>984</v>
      </c>
      <c r="J173" s="27" t="s">
        <v>2009</v>
      </c>
      <c r="K173" s="27"/>
      <c r="L173" s="27"/>
    </row>
    <row r="174" spans="1:12" ht="18.75" x14ac:dyDescent="0.3">
      <c r="A174" s="99" t="s">
        <v>1985</v>
      </c>
      <c r="B174" s="96" t="s">
        <v>1027</v>
      </c>
      <c r="C174" s="96" t="s">
        <v>984</v>
      </c>
      <c r="D174" s="96" t="s">
        <v>984</v>
      </c>
      <c r="E174" s="102" t="s">
        <v>1121</v>
      </c>
      <c r="F174" s="97" t="s">
        <v>1322</v>
      </c>
      <c r="G174" s="96" t="s">
        <v>984</v>
      </c>
      <c r="H174" s="96" t="s">
        <v>988</v>
      </c>
      <c r="I174" s="96" t="s">
        <v>984</v>
      </c>
      <c r="J174" s="27" t="s">
        <v>2010</v>
      </c>
      <c r="K174" s="27"/>
      <c r="L174" s="27"/>
    </row>
    <row r="175" spans="1:12" ht="18.75" x14ac:dyDescent="0.3">
      <c r="A175" s="99" t="s">
        <v>1986</v>
      </c>
      <c r="B175" s="96" t="s">
        <v>1027</v>
      </c>
      <c r="C175" s="96" t="s">
        <v>1184</v>
      </c>
      <c r="D175" s="96" t="s">
        <v>2012</v>
      </c>
      <c r="E175" s="102" t="s">
        <v>1121</v>
      </c>
      <c r="F175" s="97" t="s">
        <v>1322</v>
      </c>
      <c r="G175" s="96" t="s">
        <v>984</v>
      </c>
      <c r="H175" s="96" t="s">
        <v>987</v>
      </c>
      <c r="I175" s="96" t="s">
        <v>984</v>
      </c>
      <c r="J175" s="27" t="s">
        <v>2013</v>
      </c>
      <c r="K175" s="27"/>
      <c r="L175" s="27"/>
    </row>
    <row r="176" spans="1:12" ht="18.75" x14ac:dyDescent="0.3">
      <c r="A176" s="99" t="s">
        <v>1987</v>
      </c>
      <c r="B176" s="96" t="s">
        <v>1027</v>
      </c>
      <c r="C176" s="96" t="s">
        <v>984</v>
      </c>
      <c r="D176" s="96" t="s">
        <v>984</v>
      </c>
      <c r="E176" s="102" t="s">
        <v>1121</v>
      </c>
      <c r="F176" s="97" t="s">
        <v>1322</v>
      </c>
      <c r="G176" s="96" t="s">
        <v>984</v>
      </c>
      <c r="H176" s="96" t="s">
        <v>987</v>
      </c>
      <c r="I176" s="96" t="s">
        <v>984</v>
      </c>
      <c r="J176" s="27" t="s">
        <v>2021</v>
      </c>
      <c r="K176" s="27"/>
      <c r="L176" s="27"/>
    </row>
    <row r="177" spans="1:12" ht="18.75" x14ac:dyDescent="0.3">
      <c r="A177" s="99" t="s">
        <v>1988</v>
      </c>
      <c r="B177" s="96" t="s">
        <v>1027</v>
      </c>
      <c r="C177" s="96" t="s">
        <v>984</v>
      </c>
      <c r="D177" s="96" t="s">
        <v>984</v>
      </c>
      <c r="E177" s="102" t="s">
        <v>1121</v>
      </c>
      <c r="F177" s="97" t="s">
        <v>1322</v>
      </c>
      <c r="G177" s="96" t="s">
        <v>984</v>
      </c>
      <c r="H177" s="96" t="s">
        <v>987</v>
      </c>
      <c r="I177" s="96" t="s">
        <v>984</v>
      </c>
      <c r="J177" s="27" t="s">
        <v>2022</v>
      </c>
      <c r="K177" s="27"/>
      <c r="L177" s="27"/>
    </row>
    <row r="178" spans="1:12" ht="18.75" x14ac:dyDescent="0.3">
      <c r="A178" s="99" t="s">
        <v>1989</v>
      </c>
      <c r="B178" s="96" t="s">
        <v>1027</v>
      </c>
      <c r="C178" s="96" t="s">
        <v>1184</v>
      </c>
      <c r="D178" s="96" t="s">
        <v>2375</v>
      </c>
      <c r="E178" s="102" t="s">
        <v>1121</v>
      </c>
      <c r="F178" s="97" t="s">
        <v>1322</v>
      </c>
      <c r="G178" s="96">
        <v>1414.3</v>
      </c>
      <c r="H178" s="96" t="s">
        <v>1153</v>
      </c>
      <c r="I178" s="96" t="s">
        <v>2128</v>
      </c>
      <c r="J178" s="27" t="s">
        <v>2374</v>
      </c>
      <c r="K178" s="27"/>
      <c r="L178" s="27"/>
    </row>
    <row r="179" spans="1:12" ht="18.75" x14ac:dyDescent="0.3">
      <c r="A179" s="99" t="s">
        <v>1990</v>
      </c>
      <c r="B179" s="96" t="s">
        <v>1027</v>
      </c>
      <c r="C179" s="96" t="s">
        <v>2454</v>
      </c>
      <c r="D179" s="96" t="s">
        <v>2455</v>
      </c>
      <c r="E179" s="102" t="s">
        <v>1121</v>
      </c>
      <c r="F179" s="97" t="s">
        <v>1322</v>
      </c>
      <c r="G179" s="96">
        <v>226.7</v>
      </c>
      <c r="H179" s="96" t="s">
        <v>1153</v>
      </c>
      <c r="I179" s="96" t="s">
        <v>2456</v>
      </c>
      <c r="J179" s="27" t="s">
        <v>2032</v>
      </c>
      <c r="K179" s="27"/>
      <c r="L179" s="27"/>
    </row>
    <row r="180" spans="1:12" ht="18.75" x14ac:dyDescent="0.3">
      <c r="A180" s="99" t="s">
        <v>2035</v>
      </c>
      <c r="B180" s="96" t="s">
        <v>1027</v>
      </c>
      <c r="C180" s="96" t="s">
        <v>1184</v>
      </c>
      <c r="D180" s="96" t="s">
        <v>2320</v>
      </c>
      <c r="E180" s="102" t="s">
        <v>1121</v>
      </c>
      <c r="F180" s="97" t="s">
        <v>1322</v>
      </c>
      <c r="G180" s="96">
        <v>748.5</v>
      </c>
      <c r="H180" s="96" t="s">
        <v>1153</v>
      </c>
      <c r="I180" s="96" t="s">
        <v>2128</v>
      </c>
      <c r="J180" s="27" t="s">
        <v>2060</v>
      </c>
      <c r="K180" s="27"/>
      <c r="L180" s="27"/>
    </row>
    <row r="181" spans="1:12" ht="18.75" x14ac:dyDescent="0.3">
      <c r="A181" s="99" t="s">
        <v>2036</v>
      </c>
      <c r="B181" s="96" t="s">
        <v>1027</v>
      </c>
      <c r="C181" s="96" t="s">
        <v>1036</v>
      </c>
      <c r="D181" s="96" t="s">
        <v>2063</v>
      </c>
      <c r="E181" s="102" t="s">
        <v>1121</v>
      </c>
      <c r="F181" s="97" t="s">
        <v>1322</v>
      </c>
      <c r="G181" s="96" t="s">
        <v>984</v>
      </c>
      <c r="H181" s="96" t="s">
        <v>1166</v>
      </c>
      <c r="I181" s="96" t="s">
        <v>984</v>
      </c>
      <c r="J181" s="27" t="s">
        <v>2064</v>
      </c>
      <c r="K181" s="27"/>
      <c r="L181" s="27"/>
    </row>
    <row r="182" spans="1:12" ht="18.75" x14ac:dyDescent="0.3">
      <c r="A182" s="99" t="s">
        <v>2037</v>
      </c>
      <c r="B182" s="96" t="s">
        <v>1027</v>
      </c>
      <c r="C182" s="96" t="s">
        <v>984</v>
      </c>
      <c r="D182" s="96" t="s">
        <v>984</v>
      </c>
      <c r="E182" s="102" t="s">
        <v>1121</v>
      </c>
      <c r="F182" s="97" t="s">
        <v>1322</v>
      </c>
      <c r="G182" s="96" t="s">
        <v>984</v>
      </c>
      <c r="H182" s="96" t="s">
        <v>987</v>
      </c>
      <c r="I182" s="96" t="s">
        <v>984</v>
      </c>
      <c r="J182" s="27" t="s">
        <v>2075</v>
      </c>
      <c r="K182" s="27"/>
      <c r="L182" s="27"/>
    </row>
    <row r="183" spans="1:12" ht="18.75" x14ac:dyDescent="0.3">
      <c r="A183" s="99" t="s">
        <v>2038</v>
      </c>
      <c r="B183" s="96" t="s">
        <v>1067</v>
      </c>
      <c r="C183" s="96" t="s">
        <v>1828</v>
      </c>
      <c r="D183" s="96">
        <v>20240418018</v>
      </c>
      <c r="E183" s="102" t="s">
        <v>1121</v>
      </c>
      <c r="F183" s="97" t="s">
        <v>1322</v>
      </c>
      <c r="G183" s="96" t="s">
        <v>984</v>
      </c>
      <c r="H183" s="96" t="s">
        <v>988</v>
      </c>
      <c r="I183" s="96" t="s">
        <v>984</v>
      </c>
      <c r="J183" s="27" t="s">
        <v>2076</v>
      </c>
      <c r="K183" s="27"/>
      <c r="L183" s="27"/>
    </row>
    <row r="184" spans="1:12" ht="18.75" x14ac:dyDescent="0.3">
      <c r="A184" s="99" t="s">
        <v>2039</v>
      </c>
      <c r="B184" s="96" t="s">
        <v>1027</v>
      </c>
      <c r="C184" s="96" t="s">
        <v>984</v>
      </c>
      <c r="D184" s="96" t="s">
        <v>984</v>
      </c>
      <c r="E184" s="102" t="s">
        <v>1121</v>
      </c>
      <c r="F184" s="97" t="s">
        <v>1322</v>
      </c>
      <c r="G184" s="96" t="s">
        <v>984</v>
      </c>
      <c r="H184" s="96" t="s">
        <v>988</v>
      </c>
      <c r="I184" s="96" t="s">
        <v>984</v>
      </c>
      <c r="J184" s="27" t="s">
        <v>2079</v>
      </c>
      <c r="K184" s="27"/>
      <c r="L184" s="27"/>
    </row>
    <row r="185" spans="1:12" ht="18.75" x14ac:dyDescent="0.3">
      <c r="A185" s="99" t="s">
        <v>2040</v>
      </c>
      <c r="B185" s="96" t="s">
        <v>1027</v>
      </c>
      <c r="C185" s="96" t="s">
        <v>2385</v>
      </c>
      <c r="D185" s="96" t="s">
        <v>2386</v>
      </c>
      <c r="E185" s="102" t="s">
        <v>1121</v>
      </c>
      <c r="F185" s="97" t="s">
        <v>1322</v>
      </c>
      <c r="G185" s="96" t="s">
        <v>984</v>
      </c>
      <c r="H185" s="96" t="s">
        <v>1153</v>
      </c>
      <c r="I185" s="96" t="s">
        <v>2128</v>
      </c>
      <c r="J185" s="27" t="s">
        <v>2080</v>
      </c>
      <c r="K185" s="27"/>
      <c r="L185" s="27"/>
    </row>
    <row r="186" spans="1:12" ht="18.75" x14ac:dyDescent="0.3">
      <c r="A186" s="99" t="s">
        <v>2041</v>
      </c>
      <c r="B186" s="96" t="s">
        <v>1027</v>
      </c>
      <c r="C186" s="96" t="s">
        <v>2084</v>
      </c>
      <c r="D186" s="96" t="s">
        <v>2086</v>
      </c>
      <c r="E186" s="102" t="s">
        <v>1121</v>
      </c>
      <c r="F186" s="97" t="s">
        <v>1322</v>
      </c>
      <c r="G186" s="96">
        <v>4191</v>
      </c>
      <c r="H186" s="96" t="s">
        <v>1153</v>
      </c>
      <c r="I186" s="96" t="s">
        <v>2087</v>
      </c>
      <c r="J186" s="27" t="s">
        <v>2088</v>
      </c>
      <c r="K186" s="27"/>
      <c r="L186" s="27"/>
    </row>
    <row r="187" spans="1:12" ht="18.75" x14ac:dyDescent="0.3">
      <c r="A187" s="99" t="s">
        <v>2042</v>
      </c>
      <c r="B187" s="96" t="s">
        <v>1027</v>
      </c>
      <c r="C187" s="96" t="s">
        <v>2084</v>
      </c>
      <c r="D187" s="96" t="s">
        <v>1877</v>
      </c>
      <c r="E187" s="102" t="s">
        <v>2090</v>
      </c>
      <c r="F187" s="97" t="s">
        <v>1322</v>
      </c>
      <c r="G187" s="96">
        <v>722</v>
      </c>
      <c r="H187" s="96" t="s">
        <v>988</v>
      </c>
      <c r="I187" s="96" t="s">
        <v>2128</v>
      </c>
      <c r="J187" s="27" t="s">
        <v>2091</v>
      </c>
      <c r="K187" s="27"/>
      <c r="L187" s="27"/>
    </row>
    <row r="188" spans="1:12" ht="18.75" x14ac:dyDescent="0.3">
      <c r="A188" s="99" t="s">
        <v>2043</v>
      </c>
      <c r="B188" s="96" t="s">
        <v>1076</v>
      </c>
      <c r="C188" s="96" t="s">
        <v>1077</v>
      </c>
      <c r="D188" s="96" t="s">
        <v>984</v>
      </c>
      <c r="E188" s="102" t="s">
        <v>1121</v>
      </c>
      <c r="F188" s="97" t="s">
        <v>2331</v>
      </c>
      <c r="G188" s="96" t="s">
        <v>984</v>
      </c>
      <c r="H188" s="96" t="s">
        <v>988</v>
      </c>
      <c r="I188" s="96" t="s">
        <v>2128</v>
      </c>
      <c r="J188" s="27" t="s">
        <v>2129</v>
      </c>
      <c r="K188" s="27"/>
      <c r="L188" s="27"/>
    </row>
    <row r="189" spans="1:12" ht="18.75" x14ac:dyDescent="0.3">
      <c r="A189" s="53" t="s">
        <v>2044</v>
      </c>
      <c r="B189" s="38" t="s">
        <v>2155</v>
      </c>
      <c r="C189" s="38" t="s">
        <v>1036</v>
      </c>
      <c r="D189" s="38" t="s">
        <v>2156</v>
      </c>
      <c r="E189" s="41" t="s">
        <v>1102</v>
      </c>
      <c r="F189" s="40" t="s">
        <v>2157</v>
      </c>
      <c r="G189" s="38"/>
      <c r="H189" s="38" t="s">
        <v>984</v>
      </c>
      <c r="I189" s="38" t="s">
        <v>2158</v>
      </c>
      <c r="J189" s="15" t="s">
        <v>2159</v>
      </c>
      <c r="K189" s="15"/>
      <c r="L189" s="15"/>
    </row>
    <row r="190" spans="1:12" ht="18.75" x14ac:dyDescent="0.3">
      <c r="A190" s="99" t="s">
        <v>2045</v>
      </c>
      <c r="B190" s="96" t="s">
        <v>1076</v>
      </c>
      <c r="C190" s="96" t="s">
        <v>1077</v>
      </c>
      <c r="D190" s="96" t="s">
        <v>984</v>
      </c>
      <c r="E190" s="102" t="s">
        <v>1121</v>
      </c>
      <c r="F190" s="97" t="s">
        <v>2331</v>
      </c>
      <c r="G190" s="96" t="s">
        <v>984</v>
      </c>
      <c r="H190" s="96" t="s">
        <v>1153</v>
      </c>
      <c r="I190" s="96" t="s">
        <v>2128</v>
      </c>
      <c r="J190" s="27" t="s">
        <v>2178</v>
      </c>
      <c r="K190" s="27"/>
      <c r="L190" s="27"/>
    </row>
    <row r="191" spans="1:12" ht="18.75" x14ac:dyDescent="0.3">
      <c r="A191" s="99" t="s">
        <v>2046</v>
      </c>
      <c r="B191" s="96" t="s">
        <v>1076</v>
      </c>
      <c r="C191" s="96" t="s">
        <v>1077</v>
      </c>
      <c r="D191" s="96" t="s">
        <v>984</v>
      </c>
      <c r="E191" s="102" t="s">
        <v>1121</v>
      </c>
      <c r="F191" s="97" t="s">
        <v>2331</v>
      </c>
      <c r="G191" s="96" t="s">
        <v>984</v>
      </c>
      <c r="H191" s="96" t="s">
        <v>988</v>
      </c>
      <c r="I191" s="96" t="s">
        <v>1890</v>
      </c>
      <c r="J191" s="27" t="s">
        <v>1622</v>
      </c>
      <c r="K191" s="27"/>
      <c r="L191" s="27"/>
    </row>
    <row r="192" spans="1:12" ht="18.75" x14ac:dyDescent="0.3">
      <c r="A192" s="53" t="s">
        <v>2047</v>
      </c>
      <c r="B192" s="38" t="s">
        <v>2212</v>
      </c>
      <c r="C192" s="38" t="s">
        <v>2213</v>
      </c>
      <c r="D192" s="110">
        <v>23151018431</v>
      </c>
      <c r="E192" s="41" t="s">
        <v>1102</v>
      </c>
      <c r="F192" s="40" t="s">
        <v>2157</v>
      </c>
      <c r="G192" s="38" t="s">
        <v>984</v>
      </c>
      <c r="H192" s="38" t="s">
        <v>984</v>
      </c>
      <c r="I192" s="38" t="s">
        <v>1239</v>
      </c>
      <c r="J192" s="15" t="s">
        <v>984</v>
      </c>
      <c r="K192" s="62">
        <v>45891</v>
      </c>
      <c r="L192" s="15" t="s">
        <v>1239</v>
      </c>
    </row>
    <row r="193" spans="1:12" ht="18.75" x14ac:dyDescent="0.3">
      <c r="A193" s="99" t="s">
        <v>2048</v>
      </c>
      <c r="B193" s="96" t="s">
        <v>1067</v>
      </c>
      <c r="C193" s="96" t="s">
        <v>2218</v>
      </c>
      <c r="D193" s="96" t="s">
        <v>984</v>
      </c>
      <c r="E193" s="102" t="s">
        <v>1166</v>
      </c>
      <c r="F193" s="97" t="s">
        <v>1166</v>
      </c>
      <c r="G193" s="96" t="s">
        <v>984</v>
      </c>
      <c r="H193" s="96" t="s">
        <v>1166</v>
      </c>
      <c r="I193" s="96" t="s">
        <v>984</v>
      </c>
      <c r="J193" s="27" t="s">
        <v>2215</v>
      </c>
      <c r="K193" s="27"/>
      <c r="L193" s="27"/>
    </row>
    <row r="194" spans="1:12" ht="18.75" x14ac:dyDescent="0.3">
      <c r="A194" s="99" t="s">
        <v>2049</v>
      </c>
      <c r="B194" s="96" t="s">
        <v>1027</v>
      </c>
      <c r="C194" s="96" t="s">
        <v>2219</v>
      </c>
      <c r="D194" s="96" t="s">
        <v>1009</v>
      </c>
      <c r="E194" s="102" t="s">
        <v>1121</v>
      </c>
      <c r="F194" s="97" t="s">
        <v>1166</v>
      </c>
      <c r="G194" s="96" t="s">
        <v>984</v>
      </c>
      <c r="H194" s="96" t="s">
        <v>1166</v>
      </c>
      <c r="I194" s="96" t="s">
        <v>984</v>
      </c>
      <c r="J194" s="27" t="s">
        <v>2215</v>
      </c>
      <c r="K194" s="27"/>
      <c r="L194" s="27"/>
    </row>
    <row r="195" spans="1:12" ht="18.75" x14ac:dyDescent="0.3">
      <c r="A195" s="99" t="s">
        <v>2050</v>
      </c>
      <c r="B195" s="96" t="s">
        <v>1027</v>
      </c>
      <c r="C195" s="96" t="s">
        <v>1866</v>
      </c>
      <c r="D195" s="96" t="s">
        <v>2220</v>
      </c>
      <c r="E195" s="102" t="s">
        <v>1121</v>
      </c>
      <c r="F195" s="97" t="s">
        <v>1322</v>
      </c>
      <c r="G195" s="96" t="s">
        <v>984</v>
      </c>
      <c r="H195" s="96" t="s">
        <v>1166</v>
      </c>
      <c r="I195" s="96" t="s">
        <v>984</v>
      </c>
      <c r="J195" s="27" t="s">
        <v>2221</v>
      </c>
      <c r="K195" s="27"/>
      <c r="L195" s="27"/>
    </row>
    <row r="196" spans="1:12" ht="18.75" x14ac:dyDescent="0.3">
      <c r="A196" s="99" t="s">
        <v>2051</v>
      </c>
      <c r="B196" s="96" t="s">
        <v>1027</v>
      </c>
      <c r="C196" s="96" t="s">
        <v>1036</v>
      </c>
      <c r="D196" s="96" t="s">
        <v>2234</v>
      </c>
      <c r="E196" s="102" t="s">
        <v>1121</v>
      </c>
      <c r="F196" s="97" t="s">
        <v>1322</v>
      </c>
      <c r="G196" s="96" t="s">
        <v>984</v>
      </c>
      <c r="H196" s="96" t="s">
        <v>1166</v>
      </c>
      <c r="I196" s="96" t="s">
        <v>1239</v>
      </c>
      <c r="J196" s="27" t="s">
        <v>2235</v>
      </c>
      <c r="K196" s="27"/>
      <c r="L196" s="27"/>
    </row>
    <row r="197" spans="1:12" ht="18.75" x14ac:dyDescent="0.3">
      <c r="A197" s="99" t="s">
        <v>2052</v>
      </c>
      <c r="B197" s="96" t="s">
        <v>1067</v>
      </c>
      <c r="C197" s="96" t="s">
        <v>2253</v>
      </c>
      <c r="D197" s="96" t="s">
        <v>2237</v>
      </c>
      <c r="E197" s="102" t="s">
        <v>1121</v>
      </c>
      <c r="F197" s="97" t="s">
        <v>1322</v>
      </c>
      <c r="G197" s="96" t="s">
        <v>984</v>
      </c>
      <c r="H197" s="96" t="s">
        <v>1166</v>
      </c>
      <c r="I197" s="96" t="s">
        <v>984</v>
      </c>
      <c r="J197" s="27" t="s">
        <v>2238</v>
      </c>
      <c r="K197" s="27"/>
      <c r="L197" s="27"/>
    </row>
    <row r="198" spans="1:12" ht="18.75" x14ac:dyDescent="0.3">
      <c r="A198" s="99" t="s">
        <v>2053</v>
      </c>
      <c r="B198" s="96" t="s">
        <v>1027</v>
      </c>
      <c r="C198" s="96" t="s">
        <v>1874</v>
      </c>
      <c r="D198" s="96" t="s">
        <v>2241</v>
      </c>
      <c r="E198" s="102" t="s">
        <v>1121</v>
      </c>
      <c r="F198" s="97" t="s">
        <v>1322</v>
      </c>
      <c r="G198" s="96" t="s">
        <v>984</v>
      </c>
      <c r="H198" s="96" t="s">
        <v>1166</v>
      </c>
      <c r="I198" s="96" t="s">
        <v>984</v>
      </c>
      <c r="J198" s="27" t="s">
        <v>2242</v>
      </c>
      <c r="K198" s="27"/>
      <c r="L198" s="27"/>
    </row>
    <row r="199" spans="1:12" ht="18.75" x14ac:dyDescent="0.3">
      <c r="A199" s="99" t="s">
        <v>2054</v>
      </c>
      <c r="B199" s="96" t="s">
        <v>1067</v>
      </c>
      <c r="C199" s="96" t="s">
        <v>2123</v>
      </c>
      <c r="D199" s="96" t="s">
        <v>2244</v>
      </c>
      <c r="E199" s="102" t="s">
        <v>1121</v>
      </c>
      <c r="F199" s="97" t="s">
        <v>1322</v>
      </c>
      <c r="G199" s="96" t="s">
        <v>984</v>
      </c>
      <c r="H199" s="96" t="s">
        <v>1166</v>
      </c>
      <c r="I199" s="96" t="s">
        <v>984</v>
      </c>
      <c r="J199" s="27" t="s">
        <v>2245</v>
      </c>
      <c r="K199" s="27"/>
      <c r="L199" s="27"/>
    </row>
    <row r="200" spans="1:12" ht="18.75" x14ac:dyDescent="0.3">
      <c r="A200" s="99" t="s">
        <v>2055</v>
      </c>
      <c r="B200" s="96" t="s">
        <v>1067</v>
      </c>
      <c r="C200" s="96" t="s">
        <v>2123</v>
      </c>
      <c r="D200" s="96" t="s">
        <v>2250</v>
      </c>
      <c r="E200" s="102" t="s">
        <v>1121</v>
      </c>
      <c r="F200" s="97" t="s">
        <v>1322</v>
      </c>
      <c r="G200" s="96" t="s">
        <v>984</v>
      </c>
      <c r="H200" s="96" t="s">
        <v>1166</v>
      </c>
      <c r="I200" s="96" t="s">
        <v>984</v>
      </c>
      <c r="J200" s="27" t="s">
        <v>2251</v>
      </c>
      <c r="K200" s="27"/>
      <c r="L200" s="27"/>
    </row>
    <row r="201" spans="1:12" ht="18.75" x14ac:dyDescent="0.3">
      <c r="A201" s="53" t="s">
        <v>2056</v>
      </c>
      <c r="B201" s="38" t="s">
        <v>1027</v>
      </c>
      <c r="C201" s="38" t="s">
        <v>1036</v>
      </c>
      <c r="D201" s="38" t="s">
        <v>2252</v>
      </c>
      <c r="E201" s="40" t="s">
        <v>671</v>
      </c>
      <c r="F201" s="40" t="s">
        <v>1166</v>
      </c>
      <c r="G201" s="38" t="s">
        <v>984</v>
      </c>
      <c r="H201" s="38" t="s">
        <v>1166</v>
      </c>
      <c r="I201" s="38" t="s">
        <v>984</v>
      </c>
      <c r="J201" s="15" t="s">
        <v>2251</v>
      </c>
      <c r="K201" s="15"/>
      <c r="L201" s="15"/>
    </row>
    <row r="202" spans="1:12" ht="18.75" x14ac:dyDescent="0.3">
      <c r="A202" s="99" t="s">
        <v>2057</v>
      </c>
      <c r="B202" s="96" t="s">
        <v>1067</v>
      </c>
      <c r="C202" s="96" t="s">
        <v>1036</v>
      </c>
      <c r="D202" s="114">
        <v>20241125182</v>
      </c>
      <c r="E202" s="102" t="s">
        <v>1121</v>
      </c>
      <c r="F202" s="97" t="s">
        <v>1322</v>
      </c>
      <c r="G202" s="96" t="s">
        <v>984</v>
      </c>
      <c r="H202" s="96" t="s">
        <v>1166</v>
      </c>
      <c r="I202" s="96" t="s">
        <v>1239</v>
      </c>
      <c r="J202" s="27" t="s">
        <v>2258</v>
      </c>
      <c r="K202" s="27"/>
      <c r="L202" s="27"/>
    </row>
    <row r="203" spans="1:12" ht="18.75" x14ac:dyDescent="0.3">
      <c r="A203" s="99" t="s">
        <v>2058</v>
      </c>
      <c r="B203" s="96" t="s">
        <v>1067</v>
      </c>
      <c r="C203" s="96" t="s">
        <v>1036</v>
      </c>
      <c r="D203" s="114">
        <v>20241125115</v>
      </c>
      <c r="E203" s="102" t="s">
        <v>1121</v>
      </c>
      <c r="F203" s="97" t="s">
        <v>1322</v>
      </c>
      <c r="G203" s="96" t="s">
        <v>1009</v>
      </c>
      <c r="H203" s="96" t="s">
        <v>1166</v>
      </c>
      <c r="I203" s="96" t="s">
        <v>984</v>
      </c>
      <c r="J203" s="27" t="s">
        <v>2260</v>
      </c>
      <c r="K203" s="27"/>
      <c r="L203" s="27"/>
    </row>
    <row r="204" spans="1:12" ht="18.75" x14ac:dyDescent="0.3">
      <c r="A204" s="99" t="s">
        <v>2059</v>
      </c>
      <c r="B204" s="96" t="s">
        <v>1067</v>
      </c>
      <c r="C204" s="96" t="s">
        <v>1036</v>
      </c>
      <c r="D204" s="114">
        <v>20241125094</v>
      </c>
      <c r="E204" s="102" t="s">
        <v>1121</v>
      </c>
      <c r="F204" s="97" t="s">
        <v>1322</v>
      </c>
      <c r="G204" s="96" t="s">
        <v>984</v>
      </c>
      <c r="H204" s="96" t="s">
        <v>1166</v>
      </c>
      <c r="I204" s="96" t="s">
        <v>984</v>
      </c>
      <c r="J204" s="27" t="s">
        <v>2266</v>
      </c>
      <c r="K204" s="27"/>
      <c r="L204" s="27"/>
    </row>
    <row r="205" spans="1:12" ht="18.75" x14ac:dyDescent="0.3">
      <c r="A205" s="99" t="s">
        <v>2269</v>
      </c>
      <c r="B205" s="96" t="s">
        <v>1067</v>
      </c>
      <c r="C205" s="96" t="s">
        <v>1036</v>
      </c>
      <c r="D205" s="114">
        <v>20241125019</v>
      </c>
      <c r="E205" s="102" t="s">
        <v>1121</v>
      </c>
      <c r="F205" s="97" t="s">
        <v>1322</v>
      </c>
      <c r="G205" s="96" t="s">
        <v>984</v>
      </c>
      <c r="H205" s="96" t="s">
        <v>1166</v>
      </c>
      <c r="I205" s="96" t="s">
        <v>984</v>
      </c>
      <c r="J205" s="27" t="s">
        <v>2271</v>
      </c>
      <c r="K205" s="27"/>
      <c r="L205" s="27"/>
    </row>
    <row r="206" spans="1:12" ht="18.75" x14ac:dyDescent="0.3">
      <c r="A206" s="99" t="s">
        <v>2270</v>
      </c>
      <c r="B206" s="96" t="s">
        <v>1027</v>
      </c>
      <c r="C206" s="96" t="s">
        <v>1874</v>
      </c>
      <c r="D206" s="96" t="s">
        <v>2272</v>
      </c>
      <c r="E206" s="102" t="s">
        <v>1121</v>
      </c>
      <c r="F206" s="97" t="s">
        <v>1322</v>
      </c>
      <c r="G206" s="96" t="s">
        <v>984</v>
      </c>
      <c r="H206" s="96" t="s">
        <v>1166</v>
      </c>
      <c r="I206" s="96" t="s">
        <v>984</v>
      </c>
      <c r="J206" s="27" t="s">
        <v>2271</v>
      </c>
      <c r="K206" s="27"/>
      <c r="L206" s="27"/>
    </row>
    <row r="207" spans="1:12" ht="18.75" x14ac:dyDescent="0.3">
      <c r="A207" s="99" t="s">
        <v>2277</v>
      </c>
      <c r="B207" s="96" t="s">
        <v>1067</v>
      </c>
      <c r="C207" s="96" t="s">
        <v>1036</v>
      </c>
      <c r="D207" s="114">
        <v>20241125120</v>
      </c>
      <c r="E207" s="102" t="s">
        <v>1121</v>
      </c>
      <c r="F207" s="97" t="s">
        <v>1322</v>
      </c>
      <c r="G207" s="96" t="s">
        <v>2278</v>
      </c>
      <c r="H207" s="96" t="s">
        <v>1166</v>
      </c>
      <c r="I207" s="96" t="s">
        <v>984</v>
      </c>
      <c r="J207" s="27" t="s">
        <v>2279</v>
      </c>
      <c r="K207" s="27"/>
      <c r="L207" s="27"/>
    </row>
    <row r="208" spans="1:12" ht="18.75" x14ac:dyDescent="0.3">
      <c r="A208" s="99" t="s">
        <v>2287</v>
      </c>
      <c r="B208" s="96" t="s">
        <v>1027</v>
      </c>
      <c r="C208" s="96" t="s">
        <v>1874</v>
      </c>
      <c r="D208" s="96" t="s">
        <v>2286</v>
      </c>
      <c r="E208" s="102" t="s">
        <v>1121</v>
      </c>
      <c r="F208" s="97" t="s">
        <v>1322</v>
      </c>
      <c r="G208" s="96" t="s">
        <v>984</v>
      </c>
      <c r="H208" s="96" t="s">
        <v>1166</v>
      </c>
      <c r="I208" s="96" t="s">
        <v>984</v>
      </c>
      <c r="J208" s="27" t="s">
        <v>2288</v>
      </c>
      <c r="K208" s="27"/>
      <c r="L208" s="27"/>
    </row>
    <row r="209" spans="1:12" ht="18.75" x14ac:dyDescent="0.3">
      <c r="A209" s="99" t="s">
        <v>2293</v>
      </c>
      <c r="B209" s="96" t="s">
        <v>1027</v>
      </c>
      <c r="C209" s="96" t="s">
        <v>1036</v>
      </c>
      <c r="D209" s="96" t="s">
        <v>2294</v>
      </c>
      <c r="E209" s="102" t="s">
        <v>1121</v>
      </c>
      <c r="F209" s="97" t="s">
        <v>1322</v>
      </c>
      <c r="G209" s="96" t="s">
        <v>984</v>
      </c>
      <c r="H209" s="96" t="s">
        <v>1166</v>
      </c>
      <c r="I209" s="96" t="s">
        <v>984</v>
      </c>
      <c r="J209" s="27" t="s">
        <v>2295</v>
      </c>
      <c r="K209" s="27"/>
      <c r="L209" s="27"/>
    </row>
    <row r="210" spans="1:12" ht="18.75" x14ac:dyDescent="0.3">
      <c r="A210" s="99" t="s">
        <v>2298</v>
      </c>
      <c r="B210" s="96" t="s">
        <v>1027</v>
      </c>
      <c r="C210" s="96" t="s">
        <v>1874</v>
      </c>
      <c r="D210" s="96" t="s">
        <v>2299</v>
      </c>
      <c r="E210" s="102" t="s">
        <v>1121</v>
      </c>
      <c r="F210" s="97" t="s">
        <v>1322</v>
      </c>
      <c r="G210" s="96" t="s">
        <v>984</v>
      </c>
      <c r="H210" s="96" t="s">
        <v>1166</v>
      </c>
      <c r="I210" s="96" t="s">
        <v>984</v>
      </c>
      <c r="J210" s="27" t="s">
        <v>2300</v>
      </c>
      <c r="K210" s="27"/>
      <c r="L210" s="27"/>
    </row>
    <row r="211" spans="1:12" ht="18.75" x14ac:dyDescent="0.3">
      <c r="A211" s="99" t="s">
        <v>2303</v>
      </c>
      <c r="B211" s="96" t="s">
        <v>1027</v>
      </c>
      <c r="C211" s="96" t="s">
        <v>984</v>
      </c>
      <c r="D211" s="96" t="s">
        <v>2304</v>
      </c>
      <c r="E211" s="102" t="s">
        <v>1121</v>
      </c>
      <c r="F211" s="97" t="s">
        <v>1322</v>
      </c>
      <c r="G211" s="96" t="s">
        <v>984</v>
      </c>
      <c r="H211" s="96" t="s">
        <v>987</v>
      </c>
      <c r="I211" s="96" t="s">
        <v>1239</v>
      </c>
      <c r="J211" s="27" t="s">
        <v>2305</v>
      </c>
      <c r="K211" s="27"/>
      <c r="L211" s="27"/>
    </row>
    <row r="212" spans="1:12" ht="18.75" x14ac:dyDescent="0.3">
      <c r="A212" s="99" t="s">
        <v>2309</v>
      </c>
      <c r="B212" s="96" t="s">
        <v>1027</v>
      </c>
      <c r="C212" s="96" t="s">
        <v>984</v>
      </c>
      <c r="D212" s="96" t="s">
        <v>2310</v>
      </c>
      <c r="E212" s="102" t="s">
        <v>1121</v>
      </c>
      <c r="F212" s="97" t="s">
        <v>1322</v>
      </c>
      <c r="G212" s="96" t="s">
        <v>984</v>
      </c>
      <c r="H212" s="96" t="s">
        <v>987</v>
      </c>
      <c r="I212" s="96" t="s">
        <v>984</v>
      </c>
      <c r="J212" s="27" t="s">
        <v>2311</v>
      </c>
      <c r="K212" s="27"/>
      <c r="L212" s="27"/>
    </row>
    <row r="213" spans="1:12" ht="18.75" x14ac:dyDescent="0.3">
      <c r="A213" s="99" t="s">
        <v>2343</v>
      </c>
      <c r="B213" s="96"/>
      <c r="C213" s="96"/>
      <c r="D213" s="114"/>
      <c r="E213" s="102"/>
      <c r="F213" s="97"/>
      <c r="G213" s="96"/>
      <c r="H213" s="96"/>
      <c r="I213" s="96"/>
      <c r="J213" s="27"/>
      <c r="K213" s="27"/>
      <c r="L213" s="27"/>
    </row>
    <row r="214" spans="1:12" ht="18.75" x14ac:dyDescent="0.3">
      <c r="A214" s="53" t="s">
        <v>2344</v>
      </c>
      <c r="B214" s="38"/>
      <c r="C214" s="38"/>
      <c r="D214" s="38"/>
      <c r="E214" s="38"/>
      <c r="F214" s="40"/>
      <c r="G214" s="38"/>
      <c r="H214" s="38"/>
      <c r="I214" s="38"/>
      <c r="K214" s="15"/>
      <c r="L214" s="15"/>
    </row>
    <row r="215" spans="1:12" ht="18.75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K215" s="15"/>
      <c r="L215" s="15"/>
    </row>
    <row r="216" spans="1:12" ht="18.75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K216" s="15"/>
      <c r="L216" s="15"/>
    </row>
    <row r="217" spans="1:12" ht="18.75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K217" s="15"/>
      <c r="L217" s="15"/>
    </row>
    <row r="218" spans="1:12" ht="18.75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K218" s="15"/>
      <c r="L218" s="15"/>
    </row>
    <row r="219" spans="1:12" ht="18.75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K219" s="15"/>
      <c r="L219" s="15"/>
    </row>
    <row r="220" spans="1:12" ht="18.75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K220" s="15"/>
      <c r="L220" s="15"/>
    </row>
    <row r="221" spans="1:12" ht="18.75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K221" s="15"/>
      <c r="L221" s="15"/>
    </row>
    <row r="222" spans="1:12" ht="18.75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K222" s="15"/>
      <c r="L222" s="15"/>
    </row>
    <row r="223" spans="1:12" ht="18.75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K223" s="15"/>
      <c r="L223" s="15"/>
    </row>
    <row r="224" spans="1:12" ht="18.75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K224" s="15"/>
      <c r="L224" s="15"/>
    </row>
    <row r="225" spans="1:12" ht="18.75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K225" s="15"/>
      <c r="L225" s="15"/>
    </row>
    <row r="226" spans="1:12" ht="18.75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K226" s="15"/>
      <c r="L226" s="15"/>
    </row>
    <row r="227" spans="1:12" ht="18.75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K227" s="15"/>
      <c r="L227" s="15"/>
    </row>
    <row r="228" spans="1:12" ht="18.75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K228" s="15"/>
      <c r="L228" s="15"/>
    </row>
    <row r="229" spans="1:12" ht="18.75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K229" s="15"/>
      <c r="L229" s="15"/>
    </row>
    <row r="230" spans="1:12" ht="18.75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K230" s="15"/>
      <c r="L230" s="15"/>
    </row>
    <row r="231" spans="1:12" ht="18.75" x14ac:dyDescent="0.3">
      <c r="A231" s="38"/>
      <c r="B231" s="38"/>
      <c r="C231" s="38"/>
      <c r="D231" s="38"/>
      <c r="E231" s="38"/>
      <c r="F231" s="38"/>
      <c r="G231" s="38"/>
      <c r="H231" s="38"/>
      <c r="I231" s="38"/>
      <c r="K231" s="15"/>
      <c r="L231" s="15"/>
    </row>
    <row r="232" spans="1:12" ht="18.75" x14ac:dyDescent="0.3">
      <c r="A232" s="38"/>
      <c r="B232" s="38"/>
      <c r="C232" s="38"/>
      <c r="D232" s="38"/>
      <c r="E232" s="38"/>
      <c r="F232" s="38"/>
      <c r="G232" s="38"/>
      <c r="H232" s="38"/>
      <c r="I232" s="38"/>
      <c r="K232" s="15"/>
      <c r="L232" s="15"/>
    </row>
    <row r="233" spans="1:12" ht="18.75" x14ac:dyDescent="0.3">
      <c r="A233" s="38"/>
      <c r="B233" s="38"/>
      <c r="C233" s="38"/>
      <c r="D233" s="38"/>
      <c r="E233" s="38"/>
      <c r="F233" s="38"/>
      <c r="G233" s="38"/>
      <c r="H233" s="38"/>
      <c r="I233" s="38"/>
      <c r="K233" s="15"/>
      <c r="L233" s="15"/>
    </row>
    <row r="234" spans="1:12" ht="18.75" x14ac:dyDescent="0.3">
      <c r="A234" s="38"/>
      <c r="B234" s="38"/>
      <c r="C234" s="38"/>
      <c r="D234" s="38"/>
      <c r="E234" s="38"/>
      <c r="F234" s="38"/>
      <c r="G234" s="38"/>
      <c r="H234" s="38"/>
      <c r="I234" s="38"/>
      <c r="K234" s="15"/>
      <c r="L234" s="15"/>
    </row>
    <row r="235" spans="1:12" ht="18.75" x14ac:dyDescent="0.3">
      <c r="A235" s="38"/>
      <c r="B235" s="38"/>
      <c r="C235" s="38"/>
      <c r="D235" s="38"/>
      <c r="E235" s="38"/>
      <c r="F235" s="38"/>
      <c r="G235" s="38"/>
      <c r="H235" s="38"/>
      <c r="I235" s="38"/>
      <c r="K235" s="15"/>
      <c r="L235" s="15"/>
    </row>
    <row r="236" spans="1:12" ht="18.75" x14ac:dyDescent="0.3">
      <c r="A236" s="38"/>
      <c r="B236" s="38"/>
      <c r="C236" s="38"/>
      <c r="D236" s="38"/>
      <c r="E236" s="38"/>
      <c r="F236" s="38"/>
      <c r="G236" s="38"/>
      <c r="H236" s="38"/>
      <c r="I236" s="38"/>
      <c r="K236" s="15"/>
      <c r="L236" s="15"/>
    </row>
    <row r="237" spans="1:12" ht="18.75" x14ac:dyDescent="0.3">
      <c r="A237" s="38"/>
      <c r="B237" s="38"/>
      <c r="C237" s="38"/>
      <c r="D237" s="38"/>
      <c r="E237" s="38"/>
      <c r="F237" s="38"/>
      <c r="G237" s="38"/>
      <c r="H237" s="38"/>
      <c r="I237" s="38"/>
      <c r="K237" s="15"/>
      <c r="L237" s="15"/>
    </row>
    <row r="238" spans="1:12" ht="18.75" x14ac:dyDescent="0.3">
      <c r="A238" s="38"/>
      <c r="B238" s="38"/>
      <c r="C238" s="38"/>
      <c r="D238" s="38"/>
      <c r="E238" s="38"/>
      <c r="F238" s="38"/>
      <c r="G238" s="38"/>
      <c r="H238" s="38"/>
      <c r="I238" s="38"/>
      <c r="K238" s="15"/>
      <c r="L238" s="15"/>
    </row>
    <row r="239" spans="1:12" ht="18.75" x14ac:dyDescent="0.3">
      <c r="A239" s="38"/>
      <c r="B239" s="38"/>
      <c r="C239" s="38"/>
      <c r="D239" s="38"/>
      <c r="E239" s="38"/>
      <c r="F239" s="38"/>
      <c r="G239" s="38"/>
      <c r="H239" s="38"/>
      <c r="I239" s="38"/>
      <c r="K239" s="15"/>
      <c r="L239" s="15"/>
    </row>
    <row r="240" spans="1:12" ht="18.75" x14ac:dyDescent="0.3">
      <c r="A240" s="38"/>
      <c r="B240" s="38"/>
      <c r="C240" s="38"/>
      <c r="D240" s="38"/>
      <c r="E240" s="38"/>
      <c r="F240" s="38"/>
      <c r="G240" s="38"/>
      <c r="H240" s="38"/>
      <c r="I240" s="38"/>
      <c r="K240" s="15"/>
      <c r="L240" s="15"/>
    </row>
  </sheetData>
  <autoFilter ref="A1:J214" xr:uid="{00000000-0001-0000-0300-000000000000}"/>
  <mergeCells count="46">
    <mergeCell ref="N1:O1"/>
    <mergeCell ref="N31:O31"/>
    <mergeCell ref="N32:O32"/>
    <mergeCell ref="N46:O46"/>
    <mergeCell ref="N22:O22"/>
    <mergeCell ref="N40:O40"/>
    <mergeCell ref="N43:O43"/>
    <mergeCell ref="N12:O12"/>
    <mergeCell ref="N42:O42"/>
    <mergeCell ref="N27:O27"/>
    <mergeCell ref="N23:O23"/>
    <mergeCell ref="N39:O39"/>
    <mergeCell ref="N14:O14"/>
    <mergeCell ref="N17:O17"/>
    <mergeCell ref="N38:O38"/>
    <mergeCell ref="N28:O28"/>
    <mergeCell ref="N2:O2"/>
    <mergeCell ref="N36:O36"/>
    <mergeCell ref="N6:O6"/>
    <mergeCell ref="N3:O3"/>
    <mergeCell ref="N4:O4"/>
    <mergeCell ref="N5:O5"/>
    <mergeCell ref="N8:O8"/>
    <mergeCell ref="N7:O7"/>
    <mergeCell ref="N10:O10"/>
    <mergeCell ref="N18:O18"/>
    <mergeCell ref="N26:O26"/>
    <mergeCell ref="N21:O21"/>
    <mergeCell ref="N9:O9"/>
    <mergeCell ref="N11:O11"/>
    <mergeCell ref="N15:O15"/>
    <mergeCell ref="N19:O19"/>
    <mergeCell ref="N13:O13"/>
    <mergeCell ref="N45:O45"/>
    <mergeCell ref="N16:O16"/>
    <mergeCell ref="N30:O30"/>
    <mergeCell ref="N25:O25"/>
    <mergeCell ref="N34:O34"/>
    <mergeCell ref="N24:O24"/>
    <mergeCell ref="N29:O29"/>
    <mergeCell ref="N20:O20"/>
    <mergeCell ref="N33:O33"/>
    <mergeCell ref="N44:O44"/>
    <mergeCell ref="N41:O41"/>
    <mergeCell ref="N35:O35"/>
    <mergeCell ref="N37:O37"/>
  </mergeCells>
  <phoneticPr fontId="11" type="noConversion"/>
  <pageMargins left="0.75" right="0.75" top="1" bottom="1" header="0.5" footer="0.5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5"/>
  <sheetViews>
    <sheetView workbookViewId="0">
      <selection activeCell="A180" sqref="A180"/>
    </sheetView>
  </sheetViews>
  <sheetFormatPr defaultRowHeight="15" x14ac:dyDescent="0.25"/>
  <cols>
    <col min="1" max="1" width="15" customWidth="1"/>
    <col min="2" max="2" width="22" customWidth="1"/>
    <col min="3" max="3" width="22.140625" customWidth="1"/>
    <col min="4" max="4" width="30.7109375" customWidth="1"/>
    <col min="5" max="5" width="15" customWidth="1"/>
    <col min="6" max="7" width="23.28515625" bestFit="1" customWidth="1"/>
    <col min="8" max="8" width="20.7109375" customWidth="1"/>
    <col min="9" max="9" width="21.85546875" bestFit="1" customWidth="1"/>
    <col min="10" max="10" width="18" customWidth="1"/>
    <col min="11" max="11" width="26.140625" bestFit="1" customWidth="1"/>
    <col min="12" max="12" width="16.7109375" customWidth="1"/>
  </cols>
  <sheetData>
    <row r="1" spans="1:11" x14ac:dyDescent="0.25">
      <c r="A1" s="2" t="s">
        <v>144</v>
      </c>
      <c r="B1" s="2" t="s">
        <v>54</v>
      </c>
      <c r="C1" s="2" t="s">
        <v>102</v>
      </c>
      <c r="D1" s="2" t="s">
        <v>1147</v>
      </c>
      <c r="E1" s="2" t="s">
        <v>145</v>
      </c>
      <c r="F1" s="2" t="s">
        <v>10</v>
      </c>
      <c r="G1" s="2" t="s">
        <v>11</v>
      </c>
      <c r="H1" s="2" t="s">
        <v>146</v>
      </c>
      <c r="I1" s="2" t="s">
        <v>147</v>
      </c>
      <c r="J1" s="2" t="s">
        <v>148</v>
      </c>
      <c r="K1" s="2" t="s">
        <v>64</v>
      </c>
    </row>
    <row r="2" spans="1:11" ht="15.75" x14ac:dyDescent="0.25">
      <c r="A2" s="15" t="s">
        <v>23</v>
      </c>
      <c r="B2" s="15" t="s">
        <v>66</v>
      </c>
      <c r="C2" s="15" t="s">
        <v>1118</v>
      </c>
      <c r="D2" s="62">
        <v>44084</v>
      </c>
      <c r="E2" s="62"/>
      <c r="F2" s="15" t="s">
        <v>1887</v>
      </c>
      <c r="G2" s="15" t="s">
        <v>149</v>
      </c>
      <c r="H2" s="15">
        <v>430</v>
      </c>
      <c r="I2" s="15" t="s">
        <v>68</v>
      </c>
      <c r="J2" s="62">
        <v>44084</v>
      </c>
      <c r="K2" s="15"/>
    </row>
    <row r="3" spans="1:11" ht="15.75" x14ac:dyDescent="0.25">
      <c r="A3" s="15" t="s">
        <v>25</v>
      </c>
      <c r="B3" s="15" t="s">
        <v>66</v>
      </c>
      <c r="C3" s="15" t="s">
        <v>1122</v>
      </c>
      <c r="D3" s="62">
        <v>43388</v>
      </c>
      <c r="E3" s="62"/>
      <c r="F3" s="15" t="s">
        <v>1887</v>
      </c>
      <c r="G3" s="15" t="s">
        <v>1127</v>
      </c>
      <c r="H3" s="15">
        <v>190</v>
      </c>
      <c r="I3" s="15" t="s">
        <v>68</v>
      </c>
      <c r="J3" s="62">
        <v>43388</v>
      </c>
      <c r="K3" s="15"/>
    </row>
    <row r="4" spans="1:11" ht="15.75" x14ac:dyDescent="0.25">
      <c r="A4" s="15" t="s">
        <v>27</v>
      </c>
      <c r="B4" s="15" t="s">
        <v>72</v>
      </c>
      <c r="C4" s="15" t="s">
        <v>1130</v>
      </c>
      <c r="D4" s="62">
        <v>43491</v>
      </c>
      <c r="E4" s="62"/>
      <c r="F4" s="15" t="s">
        <v>1887</v>
      </c>
      <c r="G4" s="15" t="s">
        <v>1132</v>
      </c>
      <c r="H4" s="15">
        <v>430</v>
      </c>
      <c r="I4" s="15" t="s">
        <v>68</v>
      </c>
      <c r="J4" s="62">
        <v>43491</v>
      </c>
      <c r="K4" s="15"/>
    </row>
    <row r="5" spans="1:11" ht="15.75" x14ac:dyDescent="0.25">
      <c r="A5" s="15" t="s">
        <v>1087</v>
      </c>
      <c r="B5" s="15" t="s">
        <v>326</v>
      </c>
      <c r="C5" s="15" t="s">
        <v>1084</v>
      </c>
      <c r="D5" s="62">
        <v>45744</v>
      </c>
      <c r="E5" s="15"/>
      <c r="F5" s="15" t="s">
        <v>1088</v>
      </c>
      <c r="G5" s="15" t="s">
        <v>1088</v>
      </c>
      <c r="H5" s="15">
        <v>190</v>
      </c>
      <c r="I5" s="15" t="s">
        <v>253</v>
      </c>
      <c r="J5" s="62">
        <v>45744</v>
      </c>
      <c r="K5" s="15"/>
    </row>
    <row r="6" spans="1:11" ht="15.75" x14ac:dyDescent="0.25">
      <c r="A6" s="15" t="s">
        <v>1124</v>
      </c>
      <c r="B6" s="15" t="s">
        <v>326</v>
      </c>
      <c r="C6" s="15" t="s">
        <v>1085</v>
      </c>
      <c r="D6" s="62">
        <v>45726</v>
      </c>
      <c r="E6" s="15"/>
      <c r="F6" s="15" t="s">
        <v>1088</v>
      </c>
      <c r="G6" s="15" t="s">
        <v>1088</v>
      </c>
      <c r="H6" s="15">
        <v>430</v>
      </c>
      <c r="I6" s="15" t="s">
        <v>68</v>
      </c>
      <c r="J6" s="62">
        <v>45726</v>
      </c>
      <c r="K6" s="15"/>
    </row>
    <row r="7" spans="1:11" ht="15.75" x14ac:dyDescent="0.25">
      <c r="A7" s="15" t="s">
        <v>1129</v>
      </c>
      <c r="B7" s="15" t="s">
        <v>72</v>
      </c>
      <c r="C7" s="15" t="s">
        <v>1131</v>
      </c>
      <c r="D7" s="62">
        <v>43516</v>
      </c>
      <c r="E7" s="15"/>
      <c r="F7" s="15" t="s">
        <v>1887</v>
      </c>
      <c r="G7" s="15" t="s">
        <v>1132</v>
      </c>
      <c r="H7" s="15">
        <v>190</v>
      </c>
      <c r="I7" s="15" t="s">
        <v>68</v>
      </c>
      <c r="J7" s="62">
        <v>43728</v>
      </c>
      <c r="K7" s="15"/>
    </row>
    <row r="8" spans="1:11" ht="15.75" x14ac:dyDescent="0.25">
      <c r="A8" s="15" t="s">
        <v>1135</v>
      </c>
      <c r="B8" s="15" t="s">
        <v>70</v>
      </c>
      <c r="C8" s="15" t="s">
        <v>1133</v>
      </c>
      <c r="D8" s="62">
        <v>43414</v>
      </c>
      <c r="E8" s="15"/>
      <c r="F8" s="15" t="s">
        <v>988</v>
      </c>
      <c r="G8" s="15" t="s">
        <v>1132</v>
      </c>
      <c r="H8" s="15">
        <v>430</v>
      </c>
      <c r="I8" s="15" t="s">
        <v>68</v>
      </c>
      <c r="J8" s="62">
        <v>43414</v>
      </c>
      <c r="K8" s="15"/>
    </row>
    <row r="9" spans="1:11" ht="15.75" x14ac:dyDescent="0.25">
      <c r="A9" s="15" t="s">
        <v>1138</v>
      </c>
      <c r="B9" s="15" t="s">
        <v>70</v>
      </c>
      <c r="C9" s="15" t="s">
        <v>1134</v>
      </c>
      <c r="D9" s="62">
        <v>43434</v>
      </c>
      <c r="E9" s="15"/>
      <c r="F9" s="15" t="s">
        <v>988</v>
      </c>
      <c r="G9" s="15" t="s">
        <v>1132</v>
      </c>
      <c r="H9" s="15">
        <v>190</v>
      </c>
      <c r="I9" s="15" t="s">
        <v>253</v>
      </c>
      <c r="J9" s="62">
        <v>43434</v>
      </c>
      <c r="K9" s="15"/>
    </row>
    <row r="10" spans="1:11" ht="15.75" x14ac:dyDescent="0.25">
      <c r="A10" s="15" t="s">
        <v>1142</v>
      </c>
      <c r="B10" s="15" t="s">
        <v>423</v>
      </c>
      <c r="C10" s="15" t="s">
        <v>1141</v>
      </c>
      <c r="D10" s="62">
        <v>45892</v>
      </c>
      <c r="E10" s="15"/>
      <c r="F10" s="15" t="s">
        <v>2487</v>
      </c>
      <c r="G10" s="15" t="s">
        <v>1132</v>
      </c>
      <c r="H10" s="15">
        <v>430</v>
      </c>
      <c r="I10" s="15" t="s">
        <v>68</v>
      </c>
      <c r="J10" s="62">
        <v>45892</v>
      </c>
      <c r="K10" s="15"/>
    </row>
    <row r="11" spans="1:11" ht="15.75" x14ac:dyDescent="0.25">
      <c r="A11" s="15" t="s">
        <v>1228</v>
      </c>
      <c r="B11" s="15" t="s">
        <v>74</v>
      </c>
      <c r="C11" s="15" t="s">
        <v>1230</v>
      </c>
      <c r="D11" s="62">
        <v>43677</v>
      </c>
      <c r="E11" s="15"/>
      <c r="F11" s="15" t="s">
        <v>988</v>
      </c>
      <c r="G11" s="15"/>
      <c r="H11" s="15">
        <v>190</v>
      </c>
      <c r="I11" s="15" t="s">
        <v>68</v>
      </c>
      <c r="J11" s="62">
        <v>43677</v>
      </c>
      <c r="K11" s="15"/>
    </row>
    <row r="12" spans="1:11" ht="15.75" x14ac:dyDescent="0.25">
      <c r="A12" s="15" t="s">
        <v>1232</v>
      </c>
      <c r="B12" s="15" t="s">
        <v>74</v>
      </c>
      <c r="C12" s="15" t="s">
        <v>1231</v>
      </c>
      <c r="D12" s="62">
        <v>43677</v>
      </c>
      <c r="E12" s="15"/>
      <c r="F12" s="15" t="s">
        <v>988</v>
      </c>
      <c r="G12" s="15"/>
      <c r="H12" s="15">
        <v>430</v>
      </c>
      <c r="I12" s="15" t="s">
        <v>68</v>
      </c>
      <c r="J12" s="62">
        <v>43677</v>
      </c>
      <c r="K12" s="15"/>
    </row>
    <row r="13" spans="1:11" ht="15.75" x14ac:dyDescent="0.25">
      <c r="A13" s="15" t="s">
        <v>1242</v>
      </c>
      <c r="B13" s="15" t="s">
        <v>76</v>
      </c>
      <c r="C13" s="15" t="s">
        <v>1238</v>
      </c>
      <c r="D13" s="62">
        <v>44211</v>
      </c>
      <c r="E13" s="15"/>
      <c r="F13" s="15" t="s">
        <v>988</v>
      </c>
      <c r="G13" s="15"/>
      <c r="H13" s="15">
        <v>190</v>
      </c>
      <c r="I13" s="15" t="s">
        <v>68</v>
      </c>
      <c r="J13" s="62">
        <v>44211</v>
      </c>
      <c r="K13" s="15"/>
    </row>
    <row r="14" spans="1:11" ht="15.75" x14ac:dyDescent="0.25">
      <c r="A14" s="15" t="s">
        <v>1245</v>
      </c>
      <c r="B14" s="15" t="s">
        <v>76</v>
      </c>
      <c r="C14" s="15" t="s">
        <v>1240</v>
      </c>
      <c r="D14" s="62">
        <v>44209</v>
      </c>
      <c r="E14" s="15"/>
      <c r="F14" s="15" t="s">
        <v>988</v>
      </c>
      <c r="G14" s="15"/>
      <c r="H14" s="15">
        <v>430</v>
      </c>
      <c r="I14" s="15" t="s">
        <v>68</v>
      </c>
      <c r="J14" s="62">
        <v>44209</v>
      </c>
      <c r="K14" s="15"/>
    </row>
    <row r="15" spans="1:11" ht="15.75" x14ac:dyDescent="0.25">
      <c r="A15" s="15" t="s">
        <v>1252</v>
      </c>
      <c r="B15" s="15" t="s">
        <v>268</v>
      </c>
      <c r="C15" s="15" t="s">
        <v>1248</v>
      </c>
      <c r="D15" s="62">
        <v>44217</v>
      </c>
      <c r="E15" s="15"/>
      <c r="F15" s="15" t="s">
        <v>1887</v>
      </c>
      <c r="G15" s="15"/>
      <c r="H15" s="15">
        <v>190</v>
      </c>
      <c r="I15" s="15" t="s">
        <v>68</v>
      </c>
      <c r="J15" s="62">
        <v>44217</v>
      </c>
      <c r="K15" s="15"/>
    </row>
    <row r="16" spans="1:11" ht="15.75" x14ac:dyDescent="0.25">
      <c r="A16" s="15" t="s">
        <v>1255</v>
      </c>
      <c r="B16" s="15" t="s">
        <v>268</v>
      </c>
      <c r="C16" s="15" t="s">
        <v>1250</v>
      </c>
      <c r="D16" s="62">
        <v>44217</v>
      </c>
      <c r="E16" s="15"/>
      <c r="F16" s="15" t="s">
        <v>1887</v>
      </c>
      <c r="G16" s="15"/>
      <c r="H16" s="15">
        <v>430</v>
      </c>
      <c r="I16" s="15" t="s">
        <v>68</v>
      </c>
      <c r="J16" s="62">
        <v>44217</v>
      </c>
      <c r="K16" s="15"/>
    </row>
    <row r="17" spans="1:11" ht="15.75" x14ac:dyDescent="0.25">
      <c r="A17" s="15" t="s">
        <v>1285</v>
      </c>
      <c r="B17" s="15" t="s">
        <v>270</v>
      </c>
      <c r="C17" s="15" t="s">
        <v>1279</v>
      </c>
      <c r="D17" s="62">
        <v>44469</v>
      </c>
      <c r="E17" s="15"/>
      <c r="F17" s="15" t="s">
        <v>988</v>
      </c>
      <c r="G17" s="15"/>
      <c r="H17" s="15">
        <v>190</v>
      </c>
      <c r="I17" s="15" t="s">
        <v>68</v>
      </c>
      <c r="J17" s="62">
        <v>44469</v>
      </c>
      <c r="K17" s="15"/>
    </row>
    <row r="18" spans="1:11" ht="15.75" x14ac:dyDescent="0.25">
      <c r="A18" s="15" t="s">
        <v>1286</v>
      </c>
      <c r="B18" s="15" t="s">
        <v>270</v>
      </c>
      <c r="C18" s="15" t="s">
        <v>1283</v>
      </c>
      <c r="D18" s="62">
        <v>43874</v>
      </c>
      <c r="E18" s="15"/>
      <c r="F18" s="15" t="s">
        <v>988</v>
      </c>
      <c r="G18" s="15"/>
      <c r="H18" s="15">
        <v>430</v>
      </c>
      <c r="I18" s="15" t="s">
        <v>68</v>
      </c>
      <c r="J18" s="62">
        <v>43874</v>
      </c>
      <c r="K18" s="15"/>
    </row>
    <row r="19" spans="1:11" ht="15.75" x14ac:dyDescent="0.25">
      <c r="A19" s="15" t="s">
        <v>1292</v>
      </c>
      <c r="B19" s="15" t="s">
        <v>273</v>
      </c>
      <c r="C19" s="15" t="s">
        <v>1287</v>
      </c>
      <c r="D19" s="62">
        <v>44534</v>
      </c>
      <c r="E19" s="15"/>
      <c r="F19" s="15" t="s">
        <v>1887</v>
      </c>
      <c r="G19" s="15"/>
      <c r="H19" s="15">
        <v>190</v>
      </c>
      <c r="I19" s="15" t="s">
        <v>68</v>
      </c>
      <c r="J19" s="62">
        <v>44534</v>
      </c>
      <c r="K19" s="15"/>
    </row>
    <row r="20" spans="1:11" ht="15.75" x14ac:dyDescent="0.25">
      <c r="A20" s="15" t="s">
        <v>1293</v>
      </c>
      <c r="B20" s="15" t="s">
        <v>273</v>
      </c>
      <c r="C20" s="15" t="s">
        <v>1290</v>
      </c>
      <c r="D20" s="62">
        <v>43484</v>
      </c>
      <c r="E20" s="15"/>
      <c r="F20" s="15" t="s">
        <v>1887</v>
      </c>
      <c r="G20" s="15"/>
      <c r="H20" s="15">
        <v>430</v>
      </c>
      <c r="I20" s="15" t="s">
        <v>68</v>
      </c>
      <c r="J20" s="62">
        <v>43484</v>
      </c>
      <c r="K20" s="15"/>
    </row>
    <row r="21" spans="1:11" ht="15.75" x14ac:dyDescent="0.25">
      <c r="A21" s="15" t="s">
        <v>1297</v>
      </c>
      <c r="B21" s="15" t="s">
        <v>278</v>
      </c>
      <c r="C21" s="15" t="s">
        <v>1294</v>
      </c>
      <c r="D21" s="62">
        <v>44727</v>
      </c>
      <c r="E21" s="15"/>
      <c r="F21" s="15" t="s">
        <v>1887</v>
      </c>
      <c r="G21" s="15"/>
      <c r="H21" s="15">
        <v>190</v>
      </c>
      <c r="I21" s="15" t="s">
        <v>68</v>
      </c>
      <c r="J21" s="62">
        <v>44727</v>
      </c>
      <c r="K21" s="15"/>
    </row>
    <row r="22" spans="1:11" ht="15.75" x14ac:dyDescent="0.25">
      <c r="A22" s="15" t="s">
        <v>1303</v>
      </c>
      <c r="B22" s="15" t="s">
        <v>280</v>
      </c>
      <c r="C22" s="15" t="s">
        <v>1298</v>
      </c>
      <c r="D22" s="62">
        <v>44764</v>
      </c>
      <c r="E22" s="15"/>
      <c r="F22" s="15" t="s">
        <v>1887</v>
      </c>
      <c r="G22" s="15"/>
      <c r="H22" s="15">
        <v>190</v>
      </c>
      <c r="I22" s="15" t="s">
        <v>68</v>
      </c>
      <c r="J22" s="62">
        <v>44764</v>
      </c>
      <c r="K22" s="15"/>
    </row>
    <row r="23" spans="1:11" ht="15.75" x14ac:dyDescent="0.25">
      <c r="A23" s="15" t="s">
        <v>1304</v>
      </c>
      <c r="B23" s="15" t="s">
        <v>280</v>
      </c>
      <c r="C23" s="15" t="s">
        <v>1301</v>
      </c>
      <c r="D23" s="62">
        <v>44764</v>
      </c>
      <c r="E23" s="15"/>
      <c r="F23" s="15" t="s">
        <v>1887</v>
      </c>
      <c r="G23" s="15"/>
      <c r="H23" s="15">
        <v>430</v>
      </c>
      <c r="I23" s="15" t="s">
        <v>68</v>
      </c>
      <c r="J23" s="62">
        <v>44764</v>
      </c>
      <c r="K23" s="15"/>
    </row>
    <row r="24" spans="1:11" ht="15.75" x14ac:dyDescent="0.25">
      <c r="A24" s="15" t="s">
        <v>1324</v>
      </c>
      <c r="B24" s="15" t="s">
        <v>283</v>
      </c>
      <c r="C24" s="15" t="s">
        <v>1305</v>
      </c>
      <c r="D24" s="62">
        <v>44769</v>
      </c>
      <c r="E24" s="15"/>
      <c r="F24" s="15" t="s">
        <v>1887</v>
      </c>
      <c r="G24" s="15"/>
      <c r="H24" s="15">
        <v>190</v>
      </c>
      <c r="I24" s="15" t="s">
        <v>68</v>
      </c>
      <c r="J24" s="62">
        <v>44769</v>
      </c>
      <c r="K24" s="15"/>
    </row>
    <row r="25" spans="1:11" ht="15.75" x14ac:dyDescent="0.25">
      <c r="A25" s="15" t="s">
        <v>1327</v>
      </c>
      <c r="B25" s="15" t="s">
        <v>289</v>
      </c>
      <c r="C25" s="15" t="s">
        <v>1306</v>
      </c>
      <c r="D25" s="62">
        <v>45057</v>
      </c>
      <c r="E25" s="15"/>
      <c r="F25" s="15" t="s">
        <v>988</v>
      </c>
      <c r="G25" s="15"/>
      <c r="H25" s="15">
        <v>190</v>
      </c>
      <c r="I25" s="15" t="s">
        <v>68</v>
      </c>
      <c r="J25" s="62">
        <v>45057</v>
      </c>
      <c r="K25" s="15"/>
    </row>
    <row r="26" spans="1:11" ht="15.75" x14ac:dyDescent="0.25">
      <c r="A26" s="15" t="s">
        <v>1328</v>
      </c>
      <c r="B26" s="15" t="s">
        <v>289</v>
      </c>
      <c r="C26" s="15" t="s">
        <v>1307</v>
      </c>
      <c r="D26" s="62">
        <v>45057</v>
      </c>
      <c r="E26" s="15"/>
      <c r="F26" s="15" t="s">
        <v>988</v>
      </c>
      <c r="G26" s="15"/>
      <c r="H26" s="15">
        <v>430</v>
      </c>
      <c r="I26" s="15" t="s">
        <v>68</v>
      </c>
      <c r="J26" s="62">
        <v>45788</v>
      </c>
      <c r="K26" s="15"/>
    </row>
    <row r="27" spans="1:11" ht="15.75" x14ac:dyDescent="0.25">
      <c r="A27" s="15" t="s">
        <v>1333</v>
      </c>
      <c r="B27" s="15" t="s">
        <v>293</v>
      </c>
      <c r="C27" s="15" t="s">
        <v>1308</v>
      </c>
      <c r="D27" s="62">
        <v>45063</v>
      </c>
      <c r="E27" s="15"/>
      <c r="F27" s="15" t="s">
        <v>1887</v>
      </c>
      <c r="G27" s="15"/>
      <c r="H27" s="15">
        <v>190</v>
      </c>
      <c r="I27" s="15" t="s">
        <v>68</v>
      </c>
      <c r="J27" s="62">
        <v>45063</v>
      </c>
      <c r="K27" s="15"/>
    </row>
    <row r="28" spans="1:11" ht="15.75" x14ac:dyDescent="0.25">
      <c r="A28" s="15" t="s">
        <v>1334</v>
      </c>
      <c r="B28" s="15" t="s">
        <v>293</v>
      </c>
      <c r="C28" s="15" t="s">
        <v>1309</v>
      </c>
      <c r="D28" s="62">
        <v>45077</v>
      </c>
      <c r="E28" s="15"/>
      <c r="F28" s="15" t="s">
        <v>1887</v>
      </c>
      <c r="G28" s="15"/>
      <c r="H28" s="15">
        <v>430</v>
      </c>
      <c r="I28" s="15" t="s">
        <v>68</v>
      </c>
      <c r="J28" s="62">
        <v>45077</v>
      </c>
      <c r="K28" s="15"/>
    </row>
    <row r="29" spans="1:11" ht="15.75" x14ac:dyDescent="0.25">
      <c r="A29" s="15" t="s">
        <v>1401</v>
      </c>
      <c r="B29" s="15" t="s">
        <v>295</v>
      </c>
      <c r="C29" s="15" t="s">
        <v>1310</v>
      </c>
      <c r="D29" s="62">
        <v>45084</v>
      </c>
      <c r="E29" s="15"/>
      <c r="F29" s="15" t="s">
        <v>1887</v>
      </c>
      <c r="G29" s="15"/>
      <c r="H29" s="15">
        <v>190</v>
      </c>
      <c r="I29" s="15" t="s">
        <v>68</v>
      </c>
      <c r="J29" s="62">
        <v>45084</v>
      </c>
      <c r="K29" s="15"/>
    </row>
    <row r="30" spans="1:11" ht="15.75" x14ac:dyDescent="0.25">
      <c r="A30" s="15" t="s">
        <v>1405</v>
      </c>
      <c r="B30" s="15" t="s">
        <v>298</v>
      </c>
      <c r="C30" s="15" t="s">
        <v>1311</v>
      </c>
      <c r="D30" s="62">
        <v>45112</v>
      </c>
      <c r="E30" s="15"/>
      <c r="F30" s="15" t="s">
        <v>1887</v>
      </c>
      <c r="G30" s="15"/>
      <c r="H30" s="15">
        <v>190</v>
      </c>
      <c r="I30" s="15" t="s">
        <v>68</v>
      </c>
      <c r="J30" s="62">
        <v>45112</v>
      </c>
      <c r="K30" s="15"/>
    </row>
    <row r="31" spans="1:11" ht="15.75" x14ac:dyDescent="0.25">
      <c r="A31" s="15" t="s">
        <v>1406</v>
      </c>
      <c r="B31" s="15" t="s">
        <v>299</v>
      </c>
      <c r="C31" s="15" t="s">
        <v>1312</v>
      </c>
      <c r="D31" s="62">
        <v>45135</v>
      </c>
      <c r="E31" s="15"/>
      <c r="F31" s="15" t="s">
        <v>1887</v>
      </c>
      <c r="G31" s="15"/>
      <c r="H31" s="15">
        <v>190</v>
      </c>
      <c r="I31" s="15" t="s">
        <v>68</v>
      </c>
      <c r="J31" s="62">
        <v>45135</v>
      </c>
      <c r="K31" s="15"/>
    </row>
    <row r="32" spans="1:11" ht="15.75" x14ac:dyDescent="0.25">
      <c r="A32" s="15" t="s">
        <v>1407</v>
      </c>
      <c r="B32" s="15" t="s">
        <v>299</v>
      </c>
      <c r="C32" s="15" t="s">
        <v>1313</v>
      </c>
      <c r="D32" s="62">
        <v>45135</v>
      </c>
      <c r="E32" s="15"/>
      <c r="F32" s="15" t="s">
        <v>1887</v>
      </c>
      <c r="G32" s="15"/>
      <c r="H32" s="15">
        <v>430</v>
      </c>
      <c r="I32" s="15" t="s">
        <v>68</v>
      </c>
      <c r="J32" s="62">
        <v>45135</v>
      </c>
      <c r="K32" s="15"/>
    </row>
    <row r="33" spans="1:11" ht="15.75" x14ac:dyDescent="0.25">
      <c r="A33" s="15" t="s">
        <v>1408</v>
      </c>
      <c r="B33" s="15" t="s">
        <v>300</v>
      </c>
      <c r="C33" s="15" t="s">
        <v>1314</v>
      </c>
      <c r="D33" s="62">
        <v>45138</v>
      </c>
      <c r="E33" s="15"/>
      <c r="F33" s="15" t="s">
        <v>1887</v>
      </c>
      <c r="G33" s="15"/>
      <c r="H33" s="15">
        <v>190</v>
      </c>
      <c r="I33" s="15" t="s">
        <v>68</v>
      </c>
      <c r="J33" s="62">
        <v>45138</v>
      </c>
      <c r="K33" s="15"/>
    </row>
    <row r="34" spans="1:11" ht="15.75" x14ac:dyDescent="0.25">
      <c r="A34" s="15" t="s">
        <v>1409</v>
      </c>
      <c r="B34" s="15" t="s">
        <v>300</v>
      </c>
      <c r="C34" s="15" t="s">
        <v>1315</v>
      </c>
      <c r="D34" s="62">
        <v>45138</v>
      </c>
      <c r="E34" s="15"/>
      <c r="F34" s="15" t="s">
        <v>1887</v>
      </c>
      <c r="G34" s="15"/>
      <c r="H34" s="15">
        <v>430</v>
      </c>
      <c r="I34" s="15" t="s">
        <v>68</v>
      </c>
      <c r="J34" s="62">
        <v>45138</v>
      </c>
      <c r="K34" s="15"/>
    </row>
    <row r="35" spans="1:11" ht="15.75" x14ac:dyDescent="0.25">
      <c r="A35" s="15" t="s">
        <v>1410</v>
      </c>
      <c r="B35" s="15" t="s">
        <v>301</v>
      </c>
      <c r="C35" s="15" t="s">
        <v>1316</v>
      </c>
      <c r="D35" s="62">
        <v>45226</v>
      </c>
      <c r="E35" s="15"/>
      <c r="F35" s="15" t="s">
        <v>1887</v>
      </c>
      <c r="G35" s="15"/>
      <c r="H35" s="15">
        <v>190</v>
      </c>
      <c r="I35" s="15" t="s">
        <v>68</v>
      </c>
      <c r="J35" s="62">
        <v>45226</v>
      </c>
      <c r="K35" s="15"/>
    </row>
    <row r="36" spans="1:11" ht="15.75" x14ac:dyDescent="0.25">
      <c r="A36" s="15" t="s">
        <v>1411</v>
      </c>
      <c r="B36" s="15" t="s">
        <v>302</v>
      </c>
      <c r="C36" s="15" t="s">
        <v>1317</v>
      </c>
      <c r="D36" s="62">
        <v>45252</v>
      </c>
      <c r="E36" s="15"/>
      <c r="F36" s="15" t="s">
        <v>1887</v>
      </c>
      <c r="G36" s="15"/>
      <c r="H36" s="15">
        <v>190</v>
      </c>
      <c r="I36" s="15" t="s">
        <v>68</v>
      </c>
      <c r="J36" s="62">
        <v>45811</v>
      </c>
      <c r="K36" s="15"/>
    </row>
    <row r="37" spans="1:11" ht="15.75" x14ac:dyDescent="0.25">
      <c r="A37" s="15" t="s">
        <v>1412</v>
      </c>
      <c r="B37" s="15" t="s">
        <v>303</v>
      </c>
      <c r="C37" s="15" t="s">
        <v>1204</v>
      </c>
      <c r="D37" s="62">
        <v>45266</v>
      </c>
      <c r="E37" s="15"/>
      <c r="F37" s="15" t="s">
        <v>988</v>
      </c>
      <c r="G37" s="15"/>
      <c r="H37" s="15">
        <v>190</v>
      </c>
      <c r="I37" s="15" t="s">
        <v>68</v>
      </c>
      <c r="J37" s="62">
        <v>45266</v>
      </c>
      <c r="K37" s="15"/>
    </row>
    <row r="38" spans="1:11" ht="15.75" x14ac:dyDescent="0.25">
      <c r="A38" s="15" t="s">
        <v>1413</v>
      </c>
      <c r="B38" s="15" t="s">
        <v>303</v>
      </c>
      <c r="C38" s="15" t="s">
        <v>1207</v>
      </c>
      <c r="D38" s="62">
        <v>43243</v>
      </c>
      <c r="E38" s="15"/>
      <c r="F38" s="15" t="s">
        <v>988</v>
      </c>
      <c r="G38" s="15"/>
      <c r="H38" s="15">
        <v>430</v>
      </c>
      <c r="I38" s="15" t="s">
        <v>68</v>
      </c>
      <c r="J38" s="62">
        <v>43243</v>
      </c>
      <c r="K38" s="15"/>
    </row>
    <row r="39" spans="1:11" ht="15.75" x14ac:dyDescent="0.25">
      <c r="A39" s="15" t="s">
        <v>1414</v>
      </c>
      <c r="B39" s="15" t="s">
        <v>304</v>
      </c>
      <c r="C39" s="15" t="s">
        <v>1318</v>
      </c>
      <c r="D39" s="62">
        <v>45272</v>
      </c>
      <c r="E39" s="15"/>
      <c r="F39" s="15" t="s">
        <v>988</v>
      </c>
      <c r="G39" s="15"/>
      <c r="H39" s="15">
        <v>190</v>
      </c>
      <c r="I39" s="15" t="s">
        <v>68</v>
      </c>
      <c r="J39" s="62">
        <v>45272</v>
      </c>
      <c r="K39" s="15"/>
    </row>
    <row r="40" spans="1:11" ht="15.75" x14ac:dyDescent="0.25">
      <c r="A40" s="15" t="s">
        <v>1415</v>
      </c>
      <c r="B40" s="15" t="s">
        <v>304</v>
      </c>
      <c r="C40" s="15" t="s">
        <v>1319</v>
      </c>
      <c r="D40" s="62">
        <v>45272</v>
      </c>
      <c r="E40" s="15"/>
      <c r="F40" s="15" t="s">
        <v>988</v>
      </c>
      <c r="G40" s="15"/>
      <c r="H40" s="15">
        <v>430</v>
      </c>
      <c r="I40" s="15" t="s">
        <v>68</v>
      </c>
      <c r="J40" s="62">
        <v>45272</v>
      </c>
      <c r="K40" s="15"/>
    </row>
    <row r="41" spans="1:11" ht="15.75" x14ac:dyDescent="0.25">
      <c r="A41" s="15" t="s">
        <v>1416</v>
      </c>
      <c r="B41" s="15" t="s">
        <v>305</v>
      </c>
      <c r="C41" s="15" t="s">
        <v>1590</v>
      </c>
      <c r="D41" s="62">
        <v>45300</v>
      </c>
      <c r="E41" s="15"/>
      <c r="F41" s="15" t="s">
        <v>988</v>
      </c>
      <c r="G41" s="15"/>
      <c r="H41" s="15">
        <v>190</v>
      </c>
      <c r="I41" s="15" t="s">
        <v>68</v>
      </c>
      <c r="J41" s="62">
        <v>45300</v>
      </c>
      <c r="K41" s="15"/>
    </row>
    <row r="42" spans="1:11" ht="15.75" x14ac:dyDescent="0.25">
      <c r="A42" s="15" t="s">
        <v>1417</v>
      </c>
      <c r="B42" s="15" t="s">
        <v>305</v>
      </c>
      <c r="C42" s="15" t="s">
        <v>1592</v>
      </c>
      <c r="D42" s="62">
        <v>45300</v>
      </c>
      <c r="E42" s="15"/>
      <c r="F42" s="15" t="s">
        <v>988</v>
      </c>
      <c r="G42" s="15"/>
      <c r="H42" s="15">
        <v>430</v>
      </c>
      <c r="I42" s="15" t="s">
        <v>68</v>
      </c>
      <c r="J42" s="62">
        <v>45666</v>
      </c>
      <c r="K42" s="15"/>
    </row>
    <row r="43" spans="1:11" ht="15.75" x14ac:dyDescent="0.25">
      <c r="A43" s="15" t="s">
        <v>1418</v>
      </c>
      <c r="B43" s="15" t="s">
        <v>306</v>
      </c>
      <c r="C43" s="15" t="s">
        <v>1593</v>
      </c>
      <c r="D43" s="62">
        <v>45304</v>
      </c>
      <c r="E43" s="15"/>
      <c r="F43" s="15" t="s">
        <v>988</v>
      </c>
      <c r="G43" s="15"/>
      <c r="H43" s="15">
        <v>190</v>
      </c>
      <c r="I43" s="15" t="s">
        <v>68</v>
      </c>
      <c r="J43" s="62">
        <v>45304</v>
      </c>
      <c r="K43" s="15"/>
    </row>
    <row r="44" spans="1:11" ht="15.75" x14ac:dyDescent="0.25">
      <c r="A44" s="15" t="s">
        <v>1419</v>
      </c>
      <c r="B44" s="15" t="s">
        <v>306</v>
      </c>
      <c r="C44" s="15" t="s">
        <v>1596</v>
      </c>
      <c r="D44" s="62">
        <v>45304</v>
      </c>
      <c r="E44" s="15"/>
      <c r="F44" s="15" t="s">
        <v>988</v>
      </c>
      <c r="G44" s="15"/>
      <c r="H44" s="15">
        <v>430</v>
      </c>
      <c r="I44" s="15" t="s">
        <v>68</v>
      </c>
      <c r="J44" s="62">
        <v>45304</v>
      </c>
      <c r="K44" s="15"/>
    </row>
    <row r="45" spans="1:11" ht="15.75" x14ac:dyDescent="0.25">
      <c r="A45" s="15" t="s">
        <v>1420</v>
      </c>
      <c r="B45" s="15" t="s">
        <v>307</v>
      </c>
      <c r="C45" s="15" t="s">
        <v>1598</v>
      </c>
      <c r="D45" s="62">
        <v>45579</v>
      </c>
      <c r="E45" s="15"/>
      <c r="F45" s="15" t="s">
        <v>1887</v>
      </c>
      <c r="G45" s="15"/>
      <c r="H45" s="15">
        <v>190</v>
      </c>
      <c r="I45" s="15" t="s">
        <v>68</v>
      </c>
      <c r="J45" s="62">
        <v>45579</v>
      </c>
      <c r="K45" s="15"/>
    </row>
    <row r="46" spans="1:11" ht="15.75" x14ac:dyDescent="0.25">
      <c r="A46" s="15" t="s">
        <v>1421</v>
      </c>
      <c r="B46" s="15" t="s">
        <v>307</v>
      </c>
      <c r="C46" s="15" t="s">
        <v>1599</v>
      </c>
      <c r="D46" s="62">
        <v>44512</v>
      </c>
      <c r="E46" s="15"/>
      <c r="F46" s="15" t="s">
        <v>1887</v>
      </c>
      <c r="G46" s="15"/>
      <c r="H46" s="15">
        <v>430</v>
      </c>
      <c r="I46" s="15" t="s">
        <v>68</v>
      </c>
      <c r="J46" s="62">
        <v>44512</v>
      </c>
      <c r="K46" s="15"/>
    </row>
    <row r="47" spans="1:11" ht="15.75" x14ac:dyDescent="0.25">
      <c r="A47" s="15" t="s">
        <v>1422</v>
      </c>
      <c r="B47" s="15" t="s">
        <v>308</v>
      </c>
      <c r="C47" s="15" t="s">
        <v>1600</v>
      </c>
      <c r="D47" s="62">
        <v>45584</v>
      </c>
      <c r="E47" s="15"/>
      <c r="F47" s="15" t="s">
        <v>1887</v>
      </c>
      <c r="G47" s="15"/>
      <c r="H47" s="15">
        <v>190</v>
      </c>
      <c r="I47" s="15" t="s">
        <v>68</v>
      </c>
      <c r="J47" s="62">
        <v>45584</v>
      </c>
      <c r="K47" s="15"/>
    </row>
    <row r="48" spans="1:11" ht="15.75" x14ac:dyDescent="0.25">
      <c r="A48" s="15" t="s">
        <v>1423</v>
      </c>
      <c r="B48" s="15" t="s">
        <v>309</v>
      </c>
      <c r="C48" s="15" t="s">
        <v>1601</v>
      </c>
      <c r="D48" s="62">
        <v>45609</v>
      </c>
      <c r="E48" s="15"/>
      <c r="F48" s="15" t="s">
        <v>1887</v>
      </c>
      <c r="G48" s="15"/>
      <c r="H48" s="15">
        <v>190</v>
      </c>
      <c r="I48" s="15" t="s">
        <v>68</v>
      </c>
      <c r="J48" s="62">
        <v>45609</v>
      </c>
      <c r="K48" s="15"/>
    </row>
    <row r="49" spans="1:11" ht="15.75" x14ac:dyDescent="0.25">
      <c r="A49" s="15" t="s">
        <v>1424</v>
      </c>
      <c r="B49" s="15" t="s">
        <v>309</v>
      </c>
      <c r="C49" s="15" t="s">
        <v>1602</v>
      </c>
      <c r="D49" s="62">
        <v>45549</v>
      </c>
      <c r="E49" s="15"/>
      <c r="F49" s="15" t="s">
        <v>1887</v>
      </c>
      <c r="G49" s="15"/>
      <c r="H49" s="15">
        <v>430</v>
      </c>
      <c r="I49" s="15" t="s">
        <v>68</v>
      </c>
      <c r="J49" s="62">
        <v>45549</v>
      </c>
      <c r="K49" s="15"/>
    </row>
    <row r="50" spans="1:11" ht="15.75" x14ac:dyDescent="0.25">
      <c r="A50" s="15" t="s">
        <v>1425</v>
      </c>
      <c r="B50" s="15" t="s">
        <v>310</v>
      </c>
      <c r="C50" s="15" t="s">
        <v>1603</v>
      </c>
      <c r="D50" s="62">
        <v>45615</v>
      </c>
      <c r="E50" s="15"/>
      <c r="F50" s="15" t="s">
        <v>988</v>
      </c>
      <c r="G50" s="15"/>
      <c r="H50" s="15">
        <v>190</v>
      </c>
      <c r="I50" s="15" t="s">
        <v>68</v>
      </c>
      <c r="J50" s="62">
        <v>45615</v>
      </c>
      <c r="K50" s="15"/>
    </row>
    <row r="51" spans="1:11" ht="15.75" x14ac:dyDescent="0.25">
      <c r="A51" s="15" t="s">
        <v>1426</v>
      </c>
      <c r="B51" s="15" t="s">
        <v>310</v>
      </c>
      <c r="C51" s="15" t="s">
        <v>1604</v>
      </c>
      <c r="D51" s="62">
        <v>45615</v>
      </c>
      <c r="E51" s="15"/>
      <c r="F51" s="15" t="s">
        <v>988</v>
      </c>
      <c r="G51" s="15"/>
      <c r="H51" s="15">
        <v>430</v>
      </c>
      <c r="I51" s="15" t="s">
        <v>68</v>
      </c>
      <c r="J51" s="62">
        <v>45615</v>
      </c>
      <c r="K51" s="15"/>
    </row>
    <row r="52" spans="1:11" ht="15.75" x14ac:dyDescent="0.25">
      <c r="A52" s="15" t="s">
        <v>1427</v>
      </c>
      <c r="B52" s="15" t="s">
        <v>311</v>
      </c>
      <c r="C52" s="15" t="s">
        <v>1160</v>
      </c>
      <c r="D52" s="62">
        <v>45672</v>
      </c>
      <c r="E52" s="15"/>
      <c r="F52" s="15" t="s">
        <v>988</v>
      </c>
      <c r="G52" s="15"/>
      <c r="H52" s="15">
        <v>190</v>
      </c>
      <c r="I52" s="15" t="s">
        <v>68</v>
      </c>
      <c r="J52" s="62">
        <v>45672</v>
      </c>
      <c r="K52" s="15"/>
    </row>
    <row r="53" spans="1:11" ht="15.75" x14ac:dyDescent="0.25">
      <c r="A53" s="15" t="s">
        <v>1428</v>
      </c>
      <c r="B53" s="15" t="s">
        <v>311</v>
      </c>
      <c r="C53" s="15" t="s">
        <v>1162</v>
      </c>
      <c r="D53" s="62">
        <v>45672</v>
      </c>
      <c r="E53" s="15"/>
      <c r="F53" s="15" t="s">
        <v>988</v>
      </c>
      <c r="G53" s="15"/>
      <c r="H53" s="15">
        <v>430</v>
      </c>
      <c r="I53" s="15" t="s">
        <v>68</v>
      </c>
      <c r="J53" s="62">
        <v>45672</v>
      </c>
      <c r="K53" s="15"/>
    </row>
    <row r="54" spans="1:11" ht="15.75" x14ac:dyDescent="0.25">
      <c r="A54" s="15" t="s">
        <v>1429</v>
      </c>
      <c r="B54" s="15" t="s">
        <v>312</v>
      </c>
      <c r="C54" s="15" t="s">
        <v>1605</v>
      </c>
      <c r="D54" s="62">
        <v>45686</v>
      </c>
      <c r="E54" s="15"/>
      <c r="F54" s="15" t="s">
        <v>1887</v>
      </c>
      <c r="G54" s="15"/>
      <c r="H54" s="15">
        <v>190</v>
      </c>
      <c r="I54" s="15" t="s">
        <v>68</v>
      </c>
      <c r="J54" s="62">
        <v>45686</v>
      </c>
      <c r="K54" s="15"/>
    </row>
    <row r="55" spans="1:11" ht="15.75" x14ac:dyDescent="0.25">
      <c r="A55" s="15" t="s">
        <v>1430</v>
      </c>
      <c r="B55" s="15" t="s">
        <v>312</v>
      </c>
      <c r="C55" s="15" t="s">
        <v>1606</v>
      </c>
      <c r="D55" s="62">
        <v>45686</v>
      </c>
      <c r="E55" s="15"/>
      <c r="F55" s="15" t="s">
        <v>1887</v>
      </c>
      <c r="G55" s="15"/>
      <c r="H55" s="15">
        <v>430</v>
      </c>
      <c r="I55" s="15" t="s">
        <v>253</v>
      </c>
      <c r="J55" s="62">
        <v>45686</v>
      </c>
      <c r="K55" s="15"/>
    </row>
    <row r="56" spans="1:11" ht="15.75" x14ac:dyDescent="0.25">
      <c r="A56" s="15" t="s">
        <v>1431</v>
      </c>
      <c r="B56" s="15" t="s">
        <v>313</v>
      </c>
      <c r="C56" s="15" t="s">
        <v>1574</v>
      </c>
      <c r="D56" s="62">
        <v>45867</v>
      </c>
      <c r="E56" s="15"/>
      <c r="F56" s="15" t="s">
        <v>988</v>
      </c>
      <c r="G56" s="15"/>
      <c r="H56" s="15">
        <v>250</v>
      </c>
      <c r="I56" s="15" t="s">
        <v>253</v>
      </c>
      <c r="J56" s="62">
        <v>45686</v>
      </c>
      <c r="K56" s="15"/>
    </row>
    <row r="57" spans="1:11" ht="15.75" x14ac:dyDescent="0.25">
      <c r="A57" s="15" t="s">
        <v>1432</v>
      </c>
      <c r="B57" s="15" t="s">
        <v>313</v>
      </c>
      <c r="C57" s="15" t="s">
        <v>1577</v>
      </c>
      <c r="D57" s="62">
        <v>45877</v>
      </c>
      <c r="E57" s="15"/>
      <c r="F57" s="15" t="s">
        <v>988</v>
      </c>
      <c r="G57" s="15"/>
      <c r="H57" s="15">
        <v>450</v>
      </c>
      <c r="I57" s="15" t="s">
        <v>68</v>
      </c>
      <c r="J57" s="62">
        <v>45877</v>
      </c>
      <c r="K57" s="15"/>
    </row>
    <row r="58" spans="1:11" ht="15.75" x14ac:dyDescent="0.25">
      <c r="A58" s="15" t="s">
        <v>1433</v>
      </c>
      <c r="B58" s="15" t="s">
        <v>314</v>
      </c>
      <c r="C58" s="15" t="s">
        <v>1609</v>
      </c>
      <c r="D58" s="62">
        <v>45694</v>
      </c>
      <c r="E58" s="15"/>
      <c r="F58" s="15" t="s">
        <v>988</v>
      </c>
      <c r="G58" s="15"/>
      <c r="H58" s="15">
        <v>190</v>
      </c>
      <c r="I58" s="15" t="s">
        <v>68</v>
      </c>
      <c r="J58" s="62">
        <v>45694</v>
      </c>
      <c r="K58" s="15"/>
    </row>
    <row r="59" spans="1:11" ht="15.75" x14ac:dyDescent="0.25">
      <c r="A59" s="15" t="s">
        <v>1434</v>
      </c>
      <c r="B59" s="15" t="s">
        <v>315</v>
      </c>
      <c r="C59" s="15" t="s">
        <v>1610</v>
      </c>
      <c r="D59" s="62">
        <v>45700</v>
      </c>
      <c r="E59" s="15"/>
      <c r="F59" s="15" t="s">
        <v>1887</v>
      </c>
      <c r="G59" s="15"/>
      <c r="H59" s="15">
        <v>190</v>
      </c>
      <c r="I59" s="15" t="s">
        <v>253</v>
      </c>
      <c r="J59" s="62">
        <v>45700</v>
      </c>
      <c r="K59" s="15"/>
    </row>
    <row r="60" spans="1:11" ht="15.75" x14ac:dyDescent="0.25">
      <c r="A60" s="15" t="s">
        <v>1435</v>
      </c>
      <c r="B60" s="15" t="s">
        <v>315</v>
      </c>
      <c r="C60" s="15" t="s">
        <v>1611</v>
      </c>
      <c r="D60" s="62">
        <v>45672</v>
      </c>
      <c r="E60" s="15"/>
      <c r="F60" s="15" t="s">
        <v>1887</v>
      </c>
      <c r="G60" s="15"/>
      <c r="H60" s="15">
        <v>430</v>
      </c>
      <c r="I60" s="15" t="s">
        <v>68</v>
      </c>
      <c r="J60" s="62">
        <v>45672</v>
      </c>
      <c r="K60" s="15"/>
    </row>
    <row r="61" spans="1:11" ht="15.75" x14ac:dyDescent="0.25">
      <c r="A61" s="15" t="s">
        <v>1436</v>
      </c>
      <c r="B61" s="15" t="s">
        <v>316</v>
      </c>
      <c r="C61" s="15" t="s">
        <v>1612</v>
      </c>
      <c r="D61" s="62">
        <v>45708</v>
      </c>
      <c r="E61" s="15"/>
      <c r="F61" s="15" t="s">
        <v>1887</v>
      </c>
      <c r="G61" s="15"/>
      <c r="H61" s="15">
        <v>190</v>
      </c>
      <c r="I61" s="15" t="s">
        <v>68</v>
      </c>
      <c r="J61" s="62">
        <v>45708</v>
      </c>
      <c r="K61" s="15"/>
    </row>
    <row r="62" spans="1:11" ht="15.75" x14ac:dyDescent="0.25">
      <c r="A62" s="15" t="s">
        <v>1437</v>
      </c>
      <c r="B62" s="15" t="s">
        <v>317</v>
      </c>
      <c r="C62" s="15" t="s">
        <v>1719</v>
      </c>
      <c r="D62" s="62">
        <v>45709</v>
      </c>
      <c r="E62" s="15"/>
      <c r="F62" s="15" t="s">
        <v>1887</v>
      </c>
      <c r="G62" s="15"/>
      <c r="H62" s="15">
        <v>190</v>
      </c>
      <c r="I62" s="15" t="s">
        <v>68</v>
      </c>
      <c r="J62" s="62">
        <v>45709</v>
      </c>
      <c r="K62" s="15"/>
    </row>
    <row r="63" spans="1:11" ht="15.75" x14ac:dyDescent="0.25">
      <c r="A63" s="15" t="s">
        <v>1438</v>
      </c>
      <c r="B63" s="15" t="s">
        <v>317</v>
      </c>
      <c r="C63" s="15" t="s">
        <v>1720</v>
      </c>
      <c r="D63" s="62">
        <v>45793</v>
      </c>
      <c r="E63" s="15"/>
      <c r="F63" s="15" t="s">
        <v>1887</v>
      </c>
      <c r="G63" s="15"/>
      <c r="H63" s="15">
        <v>430</v>
      </c>
      <c r="I63" s="15" t="s">
        <v>68</v>
      </c>
      <c r="J63" s="62">
        <v>45793</v>
      </c>
      <c r="K63" s="15"/>
    </row>
    <row r="64" spans="1:11" ht="15.75" x14ac:dyDescent="0.25">
      <c r="A64" s="15" t="s">
        <v>1439</v>
      </c>
      <c r="B64" s="15" t="s">
        <v>319</v>
      </c>
      <c r="C64" s="15" t="s">
        <v>1721</v>
      </c>
      <c r="D64" s="62">
        <v>45715</v>
      </c>
      <c r="E64" s="15"/>
      <c r="F64" s="15" t="s">
        <v>988</v>
      </c>
      <c r="G64" s="15"/>
      <c r="H64" s="15">
        <v>190</v>
      </c>
      <c r="I64" s="15" t="s">
        <v>68</v>
      </c>
      <c r="J64" s="62">
        <v>45715</v>
      </c>
      <c r="K64" s="15"/>
    </row>
    <row r="65" spans="1:11" ht="15.75" x14ac:dyDescent="0.25">
      <c r="A65" s="15" t="s">
        <v>1440</v>
      </c>
      <c r="B65" s="15" t="s">
        <v>320</v>
      </c>
      <c r="C65" s="15" t="s">
        <v>1099</v>
      </c>
      <c r="D65" s="62">
        <v>45728</v>
      </c>
      <c r="E65" s="62">
        <v>45866</v>
      </c>
      <c r="F65" s="15" t="s">
        <v>1887</v>
      </c>
      <c r="G65" s="15"/>
      <c r="H65" s="15">
        <v>190</v>
      </c>
      <c r="I65" s="15" t="s">
        <v>671</v>
      </c>
      <c r="J65" s="62">
        <v>45887</v>
      </c>
      <c r="K65" s="62">
        <v>45882</v>
      </c>
    </row>
    <row r="66" spans="1:11" ht="15.75" x14ac:dyDescent="0.25">
      <c r="A66" s="15" t="s">
        <v>1441</v>
      </c>
      <c r="B66" s="15" t="s">
        <v>320</v>
      </c>
      <c r="C66" s="15" t="s">
        <v>1098</v>
      </c>
      <c r="D66" s="62">
        <v>45728</v>
      </c>
      <c r="E66" s="62">
        <v>45933</v>
      </c>
      <c r="F66" s="15" t="s">
        <v>1887</v>
      </c>
      <c r="G66" s="15"/>
      <c r="H66" s="15">
        <v>430</v>
      </c>
      <c r="I66" s="15" t="s">
        <v>671</v>
      </c>
      <c r="J66" s="62">
        <v>45887</v>
      </c>
      <c r="K66" s="62">
        <v>45882</v>
      </c>
    </row>
    <row r="67" spans="1:11" ht="15.75" x14ac:dyDescent="0.25">
      <c r="A67" s="15" t="s">
        <v>1442</v>
      </c>
      <c r="B67" s="15" t="s">
        <v>321</v>
      </c>
      <c r="C67" s="15" t="s">
        <v>1566</v>
      </c>
      <c r="D67" s="62">
        <v>45730</v>
      </c>
      <c r="E67" s="15"/>
      <c r="F67" s="15" t="s">
        <v>1887</v>
      </c>
      <c r="G67" s="15"/>
      <c r="H67" s="15">
        <v>190</v>
      </c>
      <c r="I67" s="15" t="s">
        <v>68</v>
      </c>
      <c r="J67" s="62">
        <v>45730</v>
      </c>
      <c r="K67" s="15"/>
    </row>
    <row r="68" spans="1:11" ht="15.75" x14ac:dyDescent="0.25">
      <c r="A68" s="15" t="s">
        <v>1443</v>
      </c>
      <c r="B68" s="15" t="s">
        <v>321</v>
      </c>
      <c r="C68" s="15" t="s">
        <v>1569</v>
      </c>
      <c r="D68" s="62">
        <v>45730</v>
      </c>
      <c r="E68" s="15"/>
      <c r="F68" s="15" t="s">
        <v>1887</v>
      </c>
      <c r="G68" s="15"/>
      <c r="H68" s="15">
        <v>430</v>
      </c>
      <c r="I68" s="15" t="s">
        <v>68</v>
      </c>
      <c r="J68" s="62">
        <v>45730</v>
      </c>
      <c r="K68" s="15"/>
    </row>
    <row r="69" spans="1:11" ht="15.75" x14ac:dyDescent="0.25">
      <c r="A69" s="15" t="s">
        <v>1444</v>
      </c>
      <c r="B69" s="15" t="s">
        <v>322</v>
      </c>
      <c r="C69" s="15" t="s">
        <v>1737</v>
      </c>
      <c r="D69" s="62">
        <v>45730</v>
      </c>
      <c r="E69" s="15"/>
      <c r="F69" s="15" t="s">
        <v>988</v>
      </c>
      <c r="G69" s="15"/>
      <c r="H69" s="15">
        <v>190</v>
      </c>
      <c r="I69" s="15" t="s">
        <v>68</v>
      </c>
      <c r="J69" s="62">
        <v>45730</v>
      </c>
      <c r="K69" s="15"/>
    </row>
    <row r="70" spans="1:11" ht="15.75" x14ac:dyDescent="0.25">
      <c r="A70" s="15" t="s">
        <v>1445</v>
      </c>
      <c r="B70" s="15" t="s">
        <v>323</v>
      </c>
      <c r="C70" s="15" t="s">
        <v>1738</v>
      </c>
      <c r="D70" s="62">
        <v>45738</v>
      </c>
      <c r="E70" s="15"/>
      <c r="F70" s="15" t="s">
        <v>1887</v>
      </c>
      <c r="G70" s="15"/>
      <c r="H70" s="15">
        <v>190</v>
      </c>
      <c r="I70" s="15" t="s">
        <v>68</v>
      </c>
      <c r="J70" s="62">
        <v>45738</v>
      </c>
      <c r="K70" s="15"/>
    </row>
    <row r="71" spans="1:11" ht="15.75" x14ac:dyDescent="0.25">
      <c r="A71" s="15" t="s">
        <v>1446</v>
      </c>
      <c r="B71" s="15" t="s">
        <v>324</v>
      </c>
      <c r="C71" s="15" t="s">
        <v>1739</v>
      </c>
      <c r="D71" s="62">
        <v>45744</v>
      </c>
      <c r="E71" s="15"/>
      <c r="F71" s="15" t="s">
        <v>988</v>
      </c>
      <c r="G71" s="15"/>
      <c r="H71" s="15">
        <v>190</v>
      </c>
      <c r="I71" s="15" t="s">
        <v>68</v>
      </c>
      <c r="J71" s="62">
        <v>45744</v>
      </c>
      <c r="K71" s="15"/>
    </row>
    <row r="72" spans="1:11" ht="15.75" x14ac:dyDescent="0.25">
      <c r="A72" s="15" t="s">
        <v>1447</v>
      </c>
      <c r="B72" s="15" t="s">
        <v>324</v>
      </c>
      <c r="C72" s="15" t="s">
        <v>1740</v>
      </c>
      <c r="D72" s="62">
        <v>45724</v>
      </c>
      <c r="E72" s="15"/>
      <c r="F72" s="15" t="s">
        <v>988</v>
      </c>
      <c r="G72" s="15"/>
      <c r="H72" s="15">
        <v>430</v>
      </c>
      <c r="I72" s="15" t="s">
        <v>68</v>
      </c>
      <c r="J72" s="62">
        <v>45724</v>
      </c>
      <c r="K72" s="15"/>
    </row>
    <row r="73" spans="1:11" ht="15.75" x14ac:dyDescent="0.25">
      <c r="A73" s="15" t="s">
        <v>1448</v>
      </c>
      <c r="B73" s="15" t="s">
        <v>328</v>
      </c>
      <c r="C73" s="15" t="s">
        <v>1741</v>
      </c>
      <c r="D73" s="62">
        <v>45792</v>
      </c>
      <c r="E73" s="15"/>
      <c r="F73" s="15" t="s">
        <v>988</v>
      </c>
      <c r="G73" s="15"/>
      <c r="H73" s="15">
        <v>190</v>
      </c>
      <c r="I73" s="15" t="s">
        <v>68</v>
      </c>
      <c r="J73" s="62">
        <v>45792</v>
      </c>
      <c r="K73" s="15"/>
    </row>
    <row r="74" spans="1:11" ht="15.75" x14ac:dyDescent="0.25">
      <c r="A74" s="15" t="s">
        <v>1449</v>
      </c>
      <c r="B74" s="15" t="s">
        <v>329</v>
      </c>
      <c r="C74" s="15" t="s">
        <v>1742</v>
      </c>
      <c r="D74" s="62">
        <v>45799</v>
      </c>
      <c r="E74" s="15"/>
      <c r="F74" s="15" t="s">
        <v>988</v>
      </c>
      <c r="G74" s="15"/>
      <c r="H74" s="15">
        <v>190</v>
      </c>
      <c r="I74" s="15" t="s">
        <v>68</v>
      </c>
      <c r="J74" s="62">
        <v>45799</v>
      </c>
      <c r="K74" s="15"/>
    </row>
    <row r="75" spans="1:11" ht="15.75" x14ac:dyDescent="0.25">
      <c r="A75" s="15" t="s">
        <v>1450</v>
      </c>
      <c r="B75" s="15" t="s">
        <v>329</v>
      </c>
      <c r="C75" s="15" t="s">
        <v>1743</v>
      </c>
      <c r="D75" s="62">
        <v>45799</v>
      </c>
      <c r="E75" s="15"/>
      <c r="F75" s="15" t="s">
        <v>988</v>
      </c>
      <c r="G75" s="15"/>
      <c r="H75" s="15">
        <v>430</v>
      </c>
      <c r="I75" s="15" t="s">
        <v>68</v>
      </c>
      <c r="J75" s="62">
        <v>45799</v>
      </c>
      <c r="K75" s="15"/>
    </row>
    <row r="76" spans="1:11" ht="15.75" x14ac:dyDescent="0.25">
      <c r="A76" s="15" t="s">
        <v>1451</v>
      </c>
      <c r="B76" s="15" t="s">
        <v>330</v>
      </c>
      <c r="C76" s="15" t="s">
        <v>1744</v>
      </c>
      <c r="D76" s="62">
        <v>45799</v>
      </c>
      <c r="E76" s="15"/>
      <c r="F76" s="15" t="s">
        <v>1887</v>
      </c>
      <c r="G76" s="15"/>
      <c r="H76" s="15">
        <v>190</v>
      </c>
      <c r="I76" s="15" t="s">
        <v>68</v>
      </c>
      <c r="J76" s="62">
        <v>45799</v>
      </c>
      <c r="K76" s="15"/>
    </row>
    <row r="77" spans="1:11" ht="15.75" x14ac:dyDescent="0.25">
      <c r="A77" s="15" t="s">
        <v>1452</v>
      </c>
      <c r="B77" s="15" t="s">
        <v>330</v>
      </c>
      <c r="C77" s="15" t="s">
        <v>1745</v>
      </c>
      <c r="D77" s="62">
        <v>43454</v>
      </c>
      <c r="E77" s="15"/>
      <c r="F77" s="15" t="s">
        <v>1887</v>
      </c>
      <c r="G77" s="15"/>
      <c r="H77" s="15">
        <v>430</v>
      </c>
      <c r="I77" s="15" t="s">
        <v>68</v>
      </c>
      <c r="J77" s="62">
        <v>43454</v>
      </c>
      <c r="K77" s="15"/>
    </row>
    <row r="78" spans="1:11" ht="15.75" x14ac:dyDescent="0.25">
      <c r="A78" s="15" t="s">
        <v>1453</v>
      </c>
      <c r="B78" s="15" t="s">
        <v>331</v>
      </c>
      <c r="C78" s="15" t="s">
        <v>1722</v>
      </c>
      <c r="D78" s="62">
        <v>45812</v>
      </c>
      <c r="E78" s="15"/>
      <c r="F78" s="15" t="s">
        <v>1887</v>
      </c>
      <c r="G78" s="15"/>
      <c r="H78" s="15">
        <v>190</v>
      </c>
      <c r="I78" s="15" t="s">
        <v>68</v>
      </c>
      <c r="J78" s="62">
        <v>45812</v>
      </c>
      <c r="K78" s="15"/>
    </row>
    <row r="79" spans="1:11" ht="15.75" x14ac:dyDescent="0.25">
      <c r="A79" s="15" t="s">
        <v>1454</v>
      </c>
      <c r="B79" s="15" t="s">
        <v>331</v>
      </c>
      <c r="C79" s="15" t="s">
        <v>1723</v>
      </c>
      <c r="D79" s="62">
        <v>45727</v>
      </c>
      <c r="E79" s="15"/>
      <c r="F79" s="15" t="s">
        <v>1887</v>
      </c>
      <c r="G79" s="15"/>
      <c r="H79" s="15">
        <v>430</v>
      </c>
      <c r="I79" s="15" t="s">
        <v>68</v>
      </c>
      <c r="J79" s="62">
        <v>45727</v>
      </c>
      <c r="K79" s="15"/>
    </row>
    <row r="80" spans="1:11" ht="15.75" x14ac:dyDescent="0.25">
      <c r="A80" s="15" t="s">
        <v>1455</v>
      </c>
      <c r="B80" s="15" t="s">
        <v>325</v>
      </c>
      <c r="C80" s="15" t="s">
        <v>1746</v>
      </c>
      <c r="D80" s="62">
        <v>45738</v>
      </c>
      <c r="E80" s="15"/>
      <c r="F80" s="15" t="s">
        <v>1088</v>
      </c>
      <c r="G80" s="15"/>
      <c r="H80" s="15">
        <v>190</v>
      </c>
      <c r="I80" s="15" t="s">
        <v>68</v>
      </c>
      <c r="J80" s="62">
        <v>45738</v>
      </c>
      <c r="K80" s="15"/>
    </row>
    <row r="81" spans="1:11" ht="15.75" x14ac:dyDescent="0.25">
      <c r="A81" s="15" t="s">
        <v>1456</v>
      </c>
      <c r="B81" s="15" t="s">
        <v>325</v>
      </c>
      <c r="C81" s="15" t="s">
        <v>1747</v>
      </c>
      <c r="D81" s="62">
        <v>45738</v>
      </c>
      <c r="E81" s="15"/>
      <c r="F81" s="15" t="s">
        <v>1088</v>
      </c>
      <c r="G81" s="15"/>
      <c r="H81" s="15">
        <v>430</v>
      </c>
      <c r="I81" s="15" t="s">
        <v>68</v>
      </c>
      <c r="J81" s="62">
        <v>45738</v>
      </c>
      <c r="K81" s="15"/>
    </row>
    <row r="82" spans="1:11" ht="15.75" x14ac:dyDescent="0.25">
      <c r="A82" s="15" t="s">
        <v>1457</v>
      </c>
      <c r="B82" s="15" t="s">
        <v>327</v>
      </c>
      <c r="C82" s="15" t="s">
        <v>1748</v>
      </c>
      <c r="D82" s="62">
        <v>45744</v>
      </c>
      <c r="E82" s="62">
        <v>45835</v>
      </c>
      <c r="F82" s="15" t="s">
        <v>1088</v>
      </c>
      <c r="G82" s="15"/>
      <c r="H82" s="15">
        <v>190</v>
      </c>
      <c r="I82" s="15" t="s">
        <v>671</v>
      </c>
      <c r="J82" s="62">
        <v>45889</v>
      </c>
      <c r="K82" s="15"/>
    </row>
    <row r="83" spans="1:11" ht="15.75" x14ac:dyDescent="0.25">
      <c r="A83" s="15" t="s">
        <v>1458</v>
      </c>
      <c r="B83" s="15" t="s">
        <v>334</v>
      </c>
      <c r="C83" s="15" t="s">
        <v>1749</v>
      </c>
      <c r="D83" s="62">
        <v>45831</v>
      </c>
      <c r="E83" s="15"/>
      <c r="F83" s="62" t="s">
        <v>1887</v>
      </c>
      <c r="G83" s="15"/>
      <c r="H83" s="15">
        <v>190</v>
      </c>
      <c r="I83" s="15" t="s">
        <v>68</v>
      </c>
      <c r="J83" s="62">
        <v>45831</v>
      </c>
      <c r="K83" s="15"/>
    </row>
    <row r="84" spans="1:11" ht="15.75" x14ac:dyDescent="0.25">
      <c r="A84" s="15" t="s">
        <v>1459</v>
      </c>
      <c r="B84" s="15" t="s">
        <v>334</v>
      </c>
      <c r="C84" s="15" t="s">
        <v>1750</v>
      </c>
      <c r="D84" s="62">
        <v>45826</v>
      </c>
      <c r="E84" s="15"/>
      <c r="F84" s="62" t="s">
        <v>1887</v>
      </c>
      <c r="G84" s="15"/>
      <c r="H84" s="15">
        <v>430</v>
      </c>
      <c r="I84" s="15" t="s">
        <v>68</v>
      </c>
      <c r="J84" s="62">
        <v>45826</v>
      </c>
      <c r="K84" s="15"/>
    </row>
    <row r="85" spans="1:11" ht="15.75" x14ac:dyDescent="0.25">
      <c r="A85" s="15" t="s">
        <v>1460</v>
      </c>
      <c r="B85" s="15" t="s">
        <v>335</v>
      </c>
      <c r="C85" s="15" t="s">
        <v>1735</v>
      </c>
      <c r="D85" s="62">
        <v>45831</v>
      </c>
      <c r="E85" s="15"/>
      <c r="F85" s="15" t="s">
        <v>988</v>
      </c>
      <c r="G85" s="15"/>
      <c r="H85" s="15">
        <v>190</v>
      </c>
      <c r="I85" s="15" t="s">
        <v>68</v>
      </c>
      <c r="J85" s="62">
        <v>45831</v>
      </c>
      <c r="K85" s="15"/>
    </row>
    <row r="86" spans="1:11" ht="15.75" x14ac:dyDescent="0.25">
      <c r="A86" s="15" t="s">
        <v>1461</v>
      </c>
      <c r="B86" s="15" t="s">
        <v>335</v>
      </c>
      <c r="C86" s="15" t="s">
        <v>1736</v>
      </c>
      <c r="D86" s="62">
        <v>45659</v>
      </c>
      <c r="E86" s="15"/>
      <c r="F86" s="15" t="s">
        <v>988</v>
      </c>
      <c r="G86" s="15"/>
      <c r="H86" s="15">
        <v>430</v>
      </c>
      <c r="I86" s="15" t="s">
        <v>68</v>
      </c>
      <c r="J86" s="62">
        <v>45659</v>
      </c>
      <c r="K86" s="15"/>
    </row>
    <row r="87" spans="1:11" ht="15.75" x14ac:dyDescent="0.25">
      <c r="A87" s="15" t="s">
        <v>1462</v>
      </c>
      <c r="B87" s="15" t="s">
        <v>336</v>
      </c>
      <c r="C87" s="15" t="s">
        <v>1751</v>
      </c>
      <c r="D87" s="62">
        <v>45837</v>
      </c>
      <c r="E87" s="62">
        <v>45866</v>
      </c>
      <c r="F87" s="15" t="s">
        <v>1887</v>
      </c>
      <c r="G87" s="15"/>
      <c r="H87" s="15">
        <v>250</v>
      </c>
      <c r="I87" s="15" t="s">
        <v>671</v>
      </c>
      <c r="J87" s="62">
        <v>45889</v>
      </c>
      <c r="K87" s="62">
        <v>45871</v>
      </c>
    </row>
    <row r="88" spans="1:11" ht="15.75" x14ac:dyDescent="0.25">
      <c r="A88" s="15" t="s">
        <v>1463</v>
      </c>
      <c r="B88" s="15" t="s">
        <v>336</v>
      </c>
      <c r="C88" s="15" t="s">
        <v>1878</v>
      </c>
      <c r="D88" s="62">
        <v>45831</v>
      </c>
      <c r="E88" s="62">
        <v>45860</v>
      </c>
      <c r="F88" s="15" t="s">
        <v>1887</v>
      </c>
      <c r="G88" s="15"/>
      <c r="H88" s="15">
        <v>450</v>
      </c>
      <c r="I88" s="15" t="s">
        <v>671</v>
      </c>
      <c r="J88" s="62">
        <v>45889</v>
      </c>
      <c r="K88" s="62">
        <v>45871</v>
      </c>
    </row>
    <row r="89" spans="1:11" ht="15.75" x14ac:dyDescent="0.25">
      <c r="A89" s="15" t="s">
        <v>1464</v>
      </c>
      <c r="B89" s="15" t="s">
        <v>336</v>
      </c>
      <c r="C89" s="15" t="s">
        <v>1879</v>
      </c>
      <c r="D89" s="62">
        <v>45837</v>
      </c>
      <c r="E89" s="62">
        <v>45866</v>
      </c>
      <c r="F89" s="15" t="s">
        <v>1887</v>
      </c>
      <c r="G89" s="15"/>
      <c r="H89" s="15">
        <v>100</v>
      </c>
      <c r="I89" s="15" t="s">
        <v>671</v>
      </c>
      <c r="J89" s="62">
        <v>45889</v>
      </c>
      <c r="K89" s="62">
        <v>45871</v>
      </c>
    </row>
    <row r="90" spans="1:11" ht="15.75" x14ac:dyDescent="0.25">
      <c r="A90" s="15" t="s">
        <v>1465</v>
      </c>
      <c r="B90" s="15" t="s">
        <v>337</v>
      </c>
      <c r="C90" s="15" t="s">
        <v>1882</v>
      </c>
      <c r="D90" s="62">
        <v>45838</v>
      </c>
      <c r="E90" s="15"/>
      <c r="F90" s="15" t="s">
        <v>988</v>
      </c>
      <c r="G90" s="15"/>
      <c r="H90" s="15">
        <v>250</v>
      </c>
      <c r="I90" s="15" t="s">
        <v>68</v>
      </c>
      <c r="J90" s="62">
        <v>45838</v>
      </c>
      <c r="K90" s="15"/>
    </row>
    <row r="91" spans="1:11" ht="15.75" x14ac:dyDescent="0.25">
      <c r="A91" s="15" t="s">
        <v>1466</v>
      </c>
      <c r="B91" s="15" t="s">
        <v>339</v>
      </c>
      <c r="C91" s="15" t="s">
        <v>1169</v>
      </c>
      <c r="D91" s="62">
        <v>45850</v>
      </c>
      <c r="E91" s="15"/>
      <c r="F91" s="15" t="s">
        <v>988</v>
      </c>
      <c r="G91" s="15"/>
      <c r="H91" s="15">
        <v>190</v>
      </c>
      <c r="I91" s="15" t="s">
        <v>68</v>
      </c>
      <c r="J91" s="62">
        <v>45850</v>
      </c>
      <c r="K91" s="15"/>
    </row>
    <row r="92" spans="1:11" ht="15.75" x14ac:dyDescent="0.25">
      <c r="A92" s="15" t="s">
        <v>1467</v>
      </c>
      <c r="B92" s="15" t="s">
        <v>340</v>
      </c>
      <c r="C92" s="15" t="s">
        <v>1211</v>
      </c>
      <c r="D92" s="62">
        <v>45852</v>
      </c>
      <c r="E92" s="15"/>
      <c r="F92" s="15" t="s">
        <v>1887</v>
      </c>
      <c r="G92" s="15"/>
      <c r="H92" s="15">
        <v>190</v>
      </c>
      <c r="I92" s="15" t="s">
        <v>68</v>
      </c>
      <c r="J92" s="62">
        <v>45852</v>
      </c>
      <c r="K92" s="15"/>
    </row>
    <row r="93" spans="1:11" ht="15.75" x14ac:dyDescent="0.25">
      <c r="A93" s="15" t="s">
        <v>1468</v>
      </c>
      <c r="B93" s="15" t="s">
        <v>340</v>
      </c>
      <c r="C93" s="15" t="s">
        <v>1213</v>
      </c>
      <c r="D93" s="62">
        <v>44020</v>
      </c>
      <c r="E93" s="15"/>
      <c r="F93" s="15" t="s">
        <v>1887</v>
      </c>
      <c r="G93" s="15"/>
      <c r="H93" s="15">
        <v>430</v>
      </c>
      <c r="I93" s="15" t="s">
        <v>68</v>
      </c>
      <c r="J93" s="62">
        <v>44020</v>
      </c>
      <c r="K93" s="15"/>
    </row>
    <row r="94" spans="1:11" ht="15.75" x14ac:dyDescent="0.25">
      <c r="A94" s="15" t="s">
        <v>1469</v>
      </c>
      <c r="B94" s="15" t="s">
        <v>341</v>
      </c>
      <c r="C94" s="15" t="s">
        <v>1889</v>
      </c>
      <c r="D94" s="62">
        <v>45848</v>
      </c>
      <c r="E94" s="15"/>
      <c r="F94" s="15" t="s">
        <v>988</v>
      </c>
      <c r="G94" s="15"/>
      <c r="H94" s="15">
        <v>190</v>
      </c>
      <c r="I94" s="15" t="s">
        <v>68</v>
      </c>
      <c r="J94" s="62">
        <v>45848</v>
      </c>
      <c r="K94" s="15"/>
    </row>
    <row r="95" spans="1:11" ht="15.75" x14ac:dyDescent="0.25">
      <c r="A95" s="15" t="s">
        <v>1470</v>
      </c>
      <c r="B95" s="15" t="s">
        <v>332</v>
      </c>
      <c r="C95" s="15" t="s">
        <v>1171</v>
      </c>
      <c r="D95" s="62">
        <v>45807</v>
      </c>
      <c r="E95" s="15"/>
      <c r="F95" s="15" t="s">
        <v>988</v>
      </c>
      <c r="G95" s="15"/>
      <c r="H95" s="15">
        <v>190</v>
      </c>
      <c r="I95" s="15" t="s">
        <v>68</v>
      </c>
      <c r="J95" s="62">
        <v>45807</v>
      </c>
      <c r="K95" s="15"/>
    </row>
    <row r="96" spans="1:11" ht="15.75" x14ac:dyDescent="0.25">
      <c r="A96" s="15" t="s">
        <v>1471</v>
      </c>
      <c r="B96" s="15" t="s">
        <v>332</v>
      </c>
      <c r="C96" s="15" t="s">
        <v>1196</v>
      </c>
      <c r="D96" s="62">
        <v>45807</v>
      </c>
      <c r="E96" s="15"/>
      <c r="F96" s="15" t="s">
        <v>988</v>
      </c>
      <c r="G96" s="15"/>
      <c r="H96" s="15">
        <v>430</v>
      </c>
      <c r="I96" s="15" t="s">
        <v>68</v>
      </c>
      <c r="J96" s="62">
        <v>45807</v>
      </c>
      <c r="K96" s="15"/>
    </row>
    <row r="97" spans="1:11" ht="15.75" x14ac:dyDescent="0.25">
      <c r="A97" s="15" t="s">
        <v>1472</v>
      </c>
      <c r="B97" s="15" t="s">
        <v>333</v>
      </c>
      <c r="C97" s="15" t="s">
        <v>1321</v>
      </c>
      <c r="D97" s="62">
        <v>45832</v>
      </c>
      <c r="E97" s="15"/>
      <c r="F97" s="15" t="s">
        <v>1887</v>
      </c>
      <c r="G97" s="15"/>
      <c r="H97" s="15">
        <v>190</v>
      </c>
      <c r="I97" s="15" t="s">
        <v>68</v>
      </c>
      <c r="J97" s="62">
        <v>45832</v>
      </c>
      <c r="K97" s="15"/>
    </row>
    <row r="98" spans="1:11" ht="15.75" x14ac:dyDescent="0.25">
      <c r="A98" s="15" t="s">
        <v>1473</v>
      </c>
      <c r="B98" s="15" t="s">
        <v>333</v>
      </c>
      <c r="C98" s="15" t="s">
        <v>1557</v>
      </c>
      <c r="D98" s="62">
        <v>45818</v>
      </c>
      <c r="E98" s="15"/>
      <c r="F98" s="15" t="s">
        <v>1887</v>
      </c>
      <c r="G98" s="15"/>
      <c r="H98" s="15">
        <v>430</v>
      </c>
      <c r="I98" s="15" t="s">
        <v>68</v>
      </c>
      <c r="J98" s="62">
        <v>45818</v>
      </c>
      <c r="K98" s="15"/>
    </row>
    <row r="99" spans="1:11" ht="15.75" x14ac:dyDescent="0.25">
      <c r="A99" s="15" t="s">
        <v>1474</v>
      </c>
      <c r="B99" s="15" t="s">
        <v>338</v>
      </c>
      <c r="C99" s="15" t="s">
        <v>1899</v>
      </c>
      <c r="D99" s="62">
        <v>45843</v>
      </c>
      <c r="E99" s="15"/>
      <c r="F99" s="15" t="s">
        <v>1887</v>
      </c>
      <c r="G99" s="15"/>
      <c r="H99" s="15">
        <v>190</v>
      </c>
      <c r="I99" s="15" t="s">
        <v>68</v>
      </c>
      <c r="J99" s="62">
        <v>45843</v>
      </c>
      <c r="K99" s="15"/>
    </row>
    <row r="100" spans="1:11" ht="15.75" x14ac:dyDescent="0.25">
      <c r="A100" s="15" t="s">
        <v>1475</v>
      </c>
      <c r="B100" s="15" t="s">
        <v>344</v>
      </c>
      <c r="C100" s="15" t="s">
        <v>1901</v>
      </c>
      <c r="D100" s="62">
        <v>45878</v>
      </c>
      <c r="E100" s="15"/>
      <c r="F100" s="15" t="s">
        <v>1088</v>
      </c>
      <c r="G100" s="15"/>
      <c r="H100" s="15">
        <v>190</v>
      </c>
      <c r="I100" s="15" t="s">
        <v>68</v>
      </c>
      <c r="J100" s="62">
        <v>45878</v>
      </c>
      <c r="K100" s="15"/>
    </row>
    <row r="101" spans="1:11" ht="15.75" x14ac:dyDescent="0.25">
      <c r="A101" s="15" t="s">
        <v>1476</v>
      </c>
      <c r="B101" s="15" t="s">
        <v>344</v>
      </c>
      <c r="C101" s="15" t="s">
        <v>1902</v>
      </c>
      <c r="D101" s="62">
        <v>45866</v>
      </c>
      <c r="E101" s="15"/>
      <c r="F101" s="15" t="s">
        <v>1088</v>
      </c>
      <c r="G101" s="15"/>
      <c r="H101" s="15">
        <v>430</v>
      </c>
      <c r="I101" s="15" t="s">
        <v>68</v>
      </c>
      <c r="J101" s="62">
        <v>45866</v>
      </c>
      <c r="K101" s="15"/>
    </row>
    <row r="102" spans="1:11" ht="15.75" x14ac:dyDescent="0.25">
      <c r="A102" s="15" t="s">
        <v>1477</v>
      </c>
      <c r="B102" s="15" t="s">
        <v>346</v>
      </c>
      <c r="C102" s="15" t="s">
        <v>1903</v>
      </c>
      <c r="D102" s="62">
        <v>45867</v>
      </c>
      <c r="E102" s="15"/>
      <c r="F102" s="15" t="s">
        <v>988</v>
      </c>
      <c r="G102" s="15"/>
      <c r="H102" s="15">
        <v>250</v>
      </c>
      <c r="I102" s="15" t="s">
        <v>68</v>
      </c>
      <c r="J102" s="62">
        <v>45867</v>
      </c>
      <c r="K102" s="15"/>
    </row>
    <row r="103" spans="1:11" ht="15.75" x14ac:dyDescent="0.25">
      <c r="A103" s="15" t="s">
        <v>1478</v>
      </c>
      <c r="B103" s="15" t="s">
        <v>348</v>
      </c>
      <c r="C103" s="15" t="s">
        <v>1904</v>
      </c>
      <c r="D103" s="62">
        <v>43397</v>
      </c>
      <c r="E103" s="15"/>
      <c r="F103" s="15" t="s">
        <v>988</v>
      </c>
      <c r="G103" s="15"/>
      <c r="H103" s="15">
        <v>430</v>
      </c>
      <c r="I103" s="15" t="s">
        <v>68</v>
      </c>
      <c r="J103" s="62">
        <v>43397</v>
      </c>
      <c r="K103" s="15"/>
    </row>
    <row r="104" spans="1:11" ht="15.75" x14ac:dyDescent="0.25">
      <c r="A104" s="15" t="s">
        <v>1479</v>
      </c>
      <c r="B104" s="15" t="s">
        <v>349</v>
      </c>
      <c r="C104" s="15" t="s">
        <v>1733</v>
      </c>
      <c r="D104" s="62">
        <v>43416</v>
      </c>
      <c r="E104" s="15"/>
      <c r="F104" s="15" t="s">
        <v>988</v>
      </c>
      <c r="G104" s="15"/>
      <c r="H104" s="15">
        <v>430</v>
      </c>
      <c r="I104" s="15" t="s">
        <v>68</v>
      </c>
      <c r="J104" s="62">
        <v>43416</v>
      </c>
      <c r="K104" s="15"/>
    </row>
    <row r="105" spans="1:11" ht="15.75" x14ac:dyDescent="0.25">
      <c r="A105" s="15" t="s">
        <v>1480</v>
      </c>
      <c r="B105" s="15" t="s">
        <v>350</v>
      </c>
      <c r="C105" s="15" t="s">
        <v>1729</v>
      </c>
      <c r="D105" s="62">
        <v>43487</v>
      </c>
      <c r="E105" s="15"/>
      <c r="F105" s="15" t="s">
        <v>988</v>
      </c>
      <c r="G105" s="15"/>
      <c r="H105" s="15">
        <v>430</v>
      </c>
      <c r="I105" s="15" t="s">
        <v>253</v>
      </c>
      <c r="J105" s="62">
        <v>43487</v>
      </c>
      <c r="K105" s="15"/>
    </row>
    <row r="106" spans="1:11" ht="15.75" x14ac:dyDescent="0.25">
      <c r="A106" s="15" t="s">
        <v>1481</v>
      </c>
      <c r="B106" s="15" t="s">
        <v>351</v>
      </c>
      <c r="C106" s="15" t="s">
        <v>1905</v>
      </c>
      <c r="D106" s="62">
        <v>43530</v>
      </c>
      <c r="E106" s="15"/>
      <c r="F106" s="15" t="s">
        <v>988</v>
      </c>
      <c r="G106" s="15"/>
      <c r="H106" s="15">
        <v>430</v>
      </c>
      <c r="I106" s="15" t="s">
        <v>253</v>
      </c>
      <c r="J106" s="62">
        <v>43530</v>
      </c>
      <c r="K106" s="15"/>
    </row>
    <row r="107" spans="1:11" ht="15.75" x14ac:dyDescent="0.25">
      <c r="A107" s="15" t="s">
        <v>1482</v>
      </c>
      <c r="B107" s="15" t="s">
        <v>352</v>
      </c>
      <c r="C107" s="15" t="s">
        <v>1906</v>
      </c>
      <c r="D107" s="62">
        <v>43964</v>
      </c>
      <c r="E107" s="15"/>
      <c r="F107" s="15" t="s">
        <v>988</v>
      </c>
      <c r="G107" s="15"/>
      <c r="H107" s="15">
        <v>430</v>
      </c>
      <c r="I107" s="15" t="s">
        <v>68</v>
      </c>
      <c r="J107" s="62">
        <v>43964</v>
      </c>
      <c r="K107" s="15"/>
    </row>
    <row r="108" spans="1:11" ht="15.75" x14ac:dyDescent="0.25">
      <c r="A108" s="15" t="s">
        <v>1483</v>
      </c>
      <c r="B108" s="15" t="s">
        <v>353</v>
      </c>
      <c r="C108" s="15" t="s">
        <v>1907</v>
      </c>
      <c r="D108" s="62">
        <v>44046</v>
      </c>
      <c r="E108" s="15"/>
      <c r="F108" s="15" t="s">
        <v>988</v>
      </c>
      <c r="G108" s="15"/>
      <c r="H108" s="15">
        <v>430</v>
      </c>
      <c r="I108" s="15" t="s">
        <v>68</v>
      </c>
      <c r="J108" s="62">
        <v>44046</v>
      </c>
      <c r="K108" s="15"/>
    </row>
    <row r="109" spans="1:11" ht="15.75" x14ac:dyDescent="0.25">
      <c r="A109" s="15" t="s">
        <v>1484</v>
      </c>
      <c r="B109" s="15" t="s">
        <v>354</v>
      </c>
      <c r="C109" s="15" t="s">
        <v>1730</v>
      </c>
      <c r="D109" s="62">
        <v>44076</v>
      </c>
      <c r="E109" s="15"/>
      <c r="F109" s="15" t="s">
        <v>988</v>
      </c>
      <c r="G109" s="15"/>
      <c r="H109" s="15">
        <v>430</v>
      </c>
      <c r="I109" s="15" t="s">
        <v>253</v>
      </c>
      <c r="J109" s="62">
        <v>44076</v>
      </c>
      <c r="K109" s="15"/>
    </row>
    <row r="110" spans="1:11" ht="15.75" x14ac:dyDescent="0.25">
      <c r="A110" s="15" t="s">
        <v>1485</v>
      </c>
      <c r="B110" s="15" t="s">
        <v>355</v>
      </c>
      <c r="C110" s="15" t="s">
        <v>1908</v>
      </c>
      <c r="D110" s="62">
        <v>44149</v>
      </c>
      <c r="E110" s="15"/>
      <c r="F110" s="15" t="s">
        <v>988</v>
      </c>
      <c r="G110" s="15"/>
      <c r="H110" s="15">
        <v>430</v>
      </c>
      <c r="I110" s="15" t="s">
        <v>253</v>
      </c>
      <c r="J110" s="62">
        <v>44149</v>
      </c>
      <c r="K110" s="15"/>
    </row>
    <row r="111" spans="1:11" ht="15.75" x14ac:dyDescent="0.25">
      <c r="A111" s="15" t="s">
        <v>1486</v>
      </c>
      <c r="B111" s="15" t="s">
        <v>356</v>
      </c>
      <c r="C111" s="15" t="s">
        <v>1724</v>
      </c>
      <c r="D111" s="62">
        <v>44203</v>
      </c>
      <c r="E111" s="15"/>
      <c r="F111" s="15" t="s">
        <v>988</v>
      </c>
      <c r="G111" s="15"/>
      <c r="H111" s="15">
        <v>430</v>
      </c>
      <c r="I111" s="15" t="s">
        <v>253</v>
      </c>
      <c r="J111" s="62">
        <v>44203</v>
      </c>
      <c r="K111" s="15"/>
    </row>
    <row r="112" spans="1:11" ht="15.75" x14ac:dyDescent="0.25">
      <c r="A112" s="15" t="s">
        <v>1487</v>
      </c>
      <c r="B112" s="15" t="s">
        <v>357</v>
      </c>
      <c r="C112" s="15" t="s">
        <v>1725</v>
      </c>
      <c r="D112" s="62">
        <v>44258</v>
      </c>
      <c r="E112" s="15"/>
      <c r="F112" s="15" t="s">
        <v>988</v>
      </c>
      <c r="G112" s="15"/>
      <c r="H112" s="15">
        <v>430</v>
      </c>
      <c r="I112" s="15" t="s">
        <v>253</v>
      </c>
      <c r="J112" s="62">
        <v>44258</v>
      </c>
      <c r="K112" s="15"/>
    </row>
    <row r="113" spans="1:11" ht="15.75" x14ac:dyDescent="0.25">
      <c r="A113" s="15" t="s">
        <v>1488</v>
      </c>
      <c r="B113" s="15" t="s">
        <v>358</v>
      </c>
      <c r="C113" s="15" t="s">
        <v>1731</v>
      </c>
      <c r="D113" s="62">
        <v>44428</v>
      </c>
      <c r="E113" s="15"/>
      <c r="F113" s="15" t="s">
        <v>988</v>
      </c>
      <c r="G113" s="15"/>
      <c r="H113" s="15">
        <v>430</v>
      </c>
      <c r="I113" s="15" t="s">
        <v>253</v>
      </c>
      <c r="J113" s="62">
        <v>44428</v>
      </c>
      <c r="K113" s="15"/>
    </row>
    <row r="114" spans="1:11" ht="15.75" x14ac:dyDescent="0.25">
      <c r="A114" s="15" t="s">
        <v>1489</v>
      </c>
      <c r="B114" s="15" t="s">
        <v>359</v>
      </c>
      <c r="C114" s="15" t="s">
        <v>1909</v>
      </c>
      <c r="D114" s="62">
        <v>44553</v>
      </c>
      <c r="E114" s="15"/>
      <c r="F114" s="15" t="s">
        <v>988</v>
      </c>
      <c r="G114" s="15"/>
      <c r="H114" s="15">
        <v>430</v>
      </c>
      <c r="I114" s="15" t="s">
        <v>253</v>
      </c>
      <c r="J114" s="62">
        <v>44553</v>
      </c>
      <c r="K114" s="15"/>
    </row>
    <row r="115" spans="1:11" ht="15.75" x14ac:dyDescent="0.25">
      <c r="A115" s="15" t="s">
        <v>1490</v>
      </c>
      <c r="B115" s="15" t="s">
        <v>360</v>
      </c>
      <c r="C115" s="15" t="s">
        <v>1910</v>
      </c>
      <c r="D115" s="62">
        <v>44938</v>
      </c>
      <c r="E115" s="15"/>
      <c r="F115" s="15" t="s">
        <v>1887</v>
      </c>
      <c r="G115" s="15"/>
      <c r="H115" s="15">
        <v>430</v>
      </c>
      <c r="I115" s="15" t="s">
        <v>253</v>
      </c>
      <c r="J115" s="62">
        <v>44938</v>
      </c>
      <c r="K115" s="15"/>
    </row>
    <row r="116" spans="1:11" ht="15.75" x14ac:dyDescent="0.25">
      <c r="A116" s="15" t="s">
        <v>1491</v>
      </c>
      <c r="B116" s="15" t="s">
        <v>361</v>
      </c>
      <c r="C116" s="15" t="s">
        <v>1726</v>
      </c>
      <c r="D116" s="62">
        <v>44982</v>
      </c>
      <c r="E116" s="15"/>
      <c r="F116" s="15" t="s">
        <v>988</v>
      </c>
      <c r="G116" s="15"/>
      <c r="H116" s="15">
        <v>430</v>
      </c>
      <c r="I116" s="15" t="s">
        <v>253</v>
      </c>
      <c r="J116" s="62">
        <v>44982</v>
      </c>
      <c r="K116" s="15"/>
    </row>
    <row r="117" spans="1:11" ht="15.75" x14ac:dyDescent="0.25">
      <c r="A117" s="15" t="s">
        <v>1492</v>
      </c>
      <c r="B117" s="15" t="s">
        <v>362</v>
      </c>
      <c r="C117" s="15" t="s">
        <v>1911</v>
      </c>
      <c r="D117" s="62">
        <v>44985</v>
      </c>
      <c r="E117" s="15"/>
      <c r="F117" s="15" t="s">
        <v>1887</v>
      </c>
      <c r="G117" s="15"/>
      <c r="H117" s="15">
        <v>430</v>
      </c>
      <c r="I117" s="15" t="s">
        <v>253</v>
      </c>
      <c r="J117" s="62">
        <v>44985</v>
      </c>
      <c r="K117" s="15"/>
    </row>
    <row r="118" spans="1:11" ht="15.75" x14ac:dyDescent="0.25">
      <c r="A118" s="15" t="s">
        <v>1493</v>
      </c>
      <c r="B118" s="15" t="s">
        <v>363</v>
      </c>
      <c r="C118" s="15" t="s">
        <v>1912</v>
      </c>
      <c r="D118" s="62">
        <v>44995</v>
      </c>
      <c r="E118" s="15"/>
      <c r="F118" s="15" t="s">
        <v>1887</v>
      </c>
      <c r="G118" s="15"/>
      <c r="H118" s="15">
        <v>430</v>
      </c>
      <c r="I118" s="15" t="s">
        <v>253</v>
      </c>
      <c r="J118" s="62">
        <v>44995</v>
      </c>
      <c r="K118" s="15"/>
    </row>
    <row r="119" spans="1:11" ht="15.75" x14ac:dyDescent="0.25">
      <c r="A119" s="15" t="s">
        <v>1494</v>
      </c>
      <c r="B119" s="15" t="s">
        <v>364</v>
      </c>
      <c r="C119" s="15" t="s">
        <v>1973</v>
      </c>
      <c r="D119" s="62">
        <v>45091</v>
      </c>
      <c r="E119" s="15"/>
      <c r="F119" s="15" t="s">
        <v>1887</v>
      </c>
      <c r="G119" s="15"/>
      <c r="H119" s="15">
        <v>430</v>
      </c>
      <c r="I119" s="15" t="s">
        <v>253</v>
      </c>
      <c r="J119" s="62">
        <v>45091</v>
      </c>
      <c r="K119" s="15"/>
    </row>
    <row r="120" spans="1:11" ht="15.75" x14ac:dyDescent="0.25">
      <c r="A120" s="15" t="s">
        <v>1495</v>
      </c>
      <c r="B120" s="15" t="s">
        <v>365</v>
      </c>
      <c r="C120" s="15" t="s">
        <v>1728</v>
      </c>
      <c r="D120" s="62">
        <v>45104</v>
      </c>
      <c r="E120" s="15"/>
      <c r="F120" s="15" t="s">
        <v>988</v>
      </c>
      <c r="G120" s="15"/>
      <c r="H120" s="15">
        <v>430</v>
      </c>
      <c r="I120" s="15" t="s">
        <v>253</v>
      </c>
      <c r="J120" s="62">
        <v>45104</v>
      </c>
      <c r="K120" s="15"/>
    </row>
    <row r="121" spans="1:11" ht="15.75" x14ac:dyDescent="0.25">
      <c r="A121" s="15" t="s">
        <v>1496</v>
      </c>
      <c r="B121" s="15" t="s">
        <v>366</v>
      </c>
      <c r="C121" s="15" t="s">
        <v>1979</v>
      </c>
      <c r="D121" s="62">
        <v>45321</v>
      </c>
      <c r="E121" s="15"/>
      <c r="F121" s="15" t="s">
        <v>988</v>
      </c>
      <c r="G121" s="15"/>
      <c r="H121" s="15">
        <v>430</v>
      </c>
      <c r="I121" s="15" t="s">
        <v>253</v>
      </c>
      <c r="J121" s="62">
        <v>45321</v>
      </c>
      <c r="K121" s="15"/>
    </row>
    <row r="122" spans="1:11" ht="15.75" x14ac:dyDescent="0.25">
      <c r="A122" s="15" t="s">
        <v>1497</v>
      </c>
      <c r="B122" s="15" t="s">
        <v>367</v>
      </c>
      <c r="C122" s="15" t="s">
        <v>1980</v>
      </c>
      <c r="D122" s="62">
        <v>45324</v>
      </c>
      <c r="E122" s="15"/>
      <c r="F122" s="15" t="s">
        <v>988</v>
      </c>
      <c r="G122" s="15"/>
      <c r="H122" s="15">
        <v>430</v>
      </c>
      <c r="I122" s="15" t="s">
        <v>253</v>
      </c>
      <c r="J122" s="62">
        <v>44959</v>
      </c>
      <c r="K122" s="15"/>
    </row>
    <row r="123" spans="1:11" ht="15.75" x14ac:dyDescent="0.25">
      <c r="A123" s="15" t="s">
        <v>1498</v>
      </c>
      <c r="B123" s="15" t="s">
        <v>368</v>
      </c>
      <c r="C123" s="15" t="s">
        <v>1981</v>
      </c>
      <c r="D123" s="62">
        <v>45325</v>
      </c>
      <c r="E123" s="15"/>
      <c r="F123" s="15" t="s">
        <v>988</v>
      </c>
      <c r="G123" s="15"/>
      <c r="H123" s="15">
        <v>430</v>
      </c>
      <c r="I123" s="15" t="s">
        <v>253</v>
      </c>
      <c r="J123" s="62">
        <v>45325</v>
      </c>
      <c r="K123" s="15"/>
    </row>
    <row r="124" spans="1:11" ht="15.75" x14ac:dyDescent="0.25">
      <c r="A124" s="15" t="s">
        <v>1499</v>
      </c>
      <c r="B124" s="15" t="s">
        <v>369</v>
      </c>
      <c r="C124" s="15" t="s">
        <v>1982</v>
      </c>
      <c r="D124" s="62">
        <v>45327</v>
      </c>
      <c r="E124" s="15"/>
      <c r="F124" s="15" t="s">
        <v>1887</v>
      </c>
      <c r="G124" s="15"/>
      <c r="H124" s="15">
        <v>430</v>
      </c>
      <c r="I124" s="15" t="s">
        <v>253</v>
      </c>
      <c r="J124" s="62">
        <v>45327</v>
      </c>
      <c r="K124" s="15"/>
    </row>
    <row r="125" spans="1:11" ht="15.75" x14ac:dyDescent="0.25">
      <c r="A125" s="15" t="s">
        <v>1500</v>
      </c>
      <c r="B125" s="15" t="s">
        <v>370</v>
      </c>
      <c r="C125" s="15" t="s">
        <v>1734</v>
      </c>
      <c r="D125" s="62">
        <v>45349</v>
      </c>
      <c r="E125" s="15"/>
      <c r="F125" s="15" t="s">
        <v>988</v>
      </c>
      <c r="G125" s="15"/>
      <c r="H125" s="15">
        <v>430</v>
      </c>
      <c r="I125" s="15" t="s">
        <v>253</v>
      </c>
      <c r="J125" s="62">
        <v>45349</v>
      </c>
      <c r="K125" s="15"/>
    </row>
    <row r="126" spans="1:11" ht="15.75" x14ac:dyDescent="0.25">
      <c r="A126" s="15" t="s">
        <v>1501</v>
      </c>
      <c r="B126" s="15" t="s">
        <v>372</v>
      </c>
      <c r="C126" s="15" t="s">
        <v>1983</v>
      </c>
      <c r="D126" s="62">
        <v>45435</v>
      </c>
      <c r="E126" s="15"/>
      <c r="F126" s="15" t="s">
        <v>1887</v>
      </c>
      <c r="G126" s="15"/>
      <c r="H126" s="15">
        <v>430</v>
      </c>
      <c r="I126" s="15" t="s">
        <v>253</v>
      </c>
      <c r="J126" s="62">
        <v>45435</v>
      </c>
      <c r="K126" s="15"/>
    </row>
    <row r="127" spans="1:11" ht="15.75" x14ac:dyDescent="0.25">
      <c r="A127" s="15" t="s">
        <v>1502</v>
      </c>
      <c r="B127" s="15" t="s">
        <v>373</v>
      </c>
      <c r="C127" s="15" t="s">
        <v>1984</v>
      </c>
      <c r="D127" s="62">
        <v>45493</v>
      </c>
      <c r="E127" s="15"/>
      <c r="F127" s="15" t="s">
        <v>1887</v>
      </c>
      <c r="G127" s="15"/>
      <c r="H127" s="15">
        <v>430</v>
      </c>
      <c r="I127" s="15" t="s">
        <v>253</v>
      </c>
      <c r="J127" s="62">
        <v>45493</v>
      </c>
      <c r="K127" s="15"/>
    </row>
    <row r="128" spans="1:11" ht="15.75" x14ac:dyDescent="0.25">
      <c r="A128" s="15" t="s">
        <v>1503</v>
      </c>
      <c r="B128" s="15" t="s">
        <v>374</v>
      </c>
      <c r="C128" s="15" t="s">
        <v>1985</v>
      </c>
      <c r="D128" s="62">
        <v>45502</v>
      </c>
      <c r="E128" s="15"/>
      <c r="F128" s="15" t="s">
        <v>988</v>
      </c>
      <c r="G128" s="15"/>
      <c r="H128" s="15">
        <v>430</v>
      </c>
      <c r="I128" s="15" t="s">
        <v>253</v>
      </c>
      <c r="J128" s="62">
        <v>45502</v>
      </c>
      <c r="K128" s="15"/>
    </row>
    <row r="129" spans="1:11" ht="15.75" x14ac:dyDescent="0.25">
      <c r="A129" s="15" t="s">
        <v>1504</v>
      </c>
      <c r="B129" s="15" t="s">
        <v>375</v>
      </c>
      <c r="C129" s="15" t="s">
        <v>1057</v>
      </c>
      <c r="D129" s="62">
        <v>45878</v>
      </c>
      <c r="E129" s="15"/>
      <c r="F129" s="15" t="s">
        <v>1887</v>
      </c>
      <c r="G129" s="15"/>
      <c r="H129" s="15">
        <v>250</v>
      </c>
      <c r="I129" s="15" t="s">
        <v>253</v>
      </c>
      <c r="J129" s="62">
        <v>45878</v>
      </c>
      <c r="K129" s="15"/>
    </row>
    <row r="130" spans="1:11" ht="15.75" x14ac:dyDescent="0.25">
      <c r="A130" s="15" t="s">
        <v>1505</v>
      </c>
      <c r="B130" s="15" t="s">
        <v>375</v>
      </c>
      <c r="C130" s="15" t="s">
        <v>1986</v>
      </c>
      <c r="D130" s="62">
        <v>45520</v>
      </c>
      <c r="E130" s="15"/>
      <c r="F130" s="15" t="s">
        <v>1887</v>
      </c>
      <c r="G130" s="15"/>
      <c r="H130" s="15">
        <v>430</v>
      </c>
      <c r="I130" s="15" t="s">
        <v>253</v>
      </c>
      <c r="J130" s="62">
        <v>45520</v>
      </c>
      <c r="K130" s="15"/>
    </row>
    <row r="131" spans="1:11" ht="15.75" x14ac:dyDescent="0.25">
      <c r="A131" s="15" t="s">
        <v>1506</v>
      </c>
      <c r="B131" s="15" t="s">
        <v>377</v>
      </c>
      <c r="C131" s="15" t="s">
        <v>1727</v>
      </c>
      <c r="D131" s="62">
        <v>45595</v>
      </c>
      <c r="E131" s="15"/>
      <c r="F131" s="15" t="s">
        <v>988</v>
      </c>
      <c r="G131" s="15"/>
      <c r="H131" s="15">
        <v>430</v>
      </c>
      <c r="I131" s="15" t="s">
        <v>253</v>
      </c>
      <c r="J131" s="62">
        <v>45595</v>
      </c>
      <c r="K131" s="15"/>
    </row>
    <row r="132" spans="1:11" ht="15.75" x14ac:dyDescent="0.25">
      <c r="A132" s="15" t="s">
        <v>1507</v>
      </c>
      <c r="B132" s="15" t="s">
        <v>378</v>
      </c>
      <c r="C132" s="15" t="s">
        <v>1158</v>
      </c>
      <c r="D132" s="62">
        <v>45650</v>
      </c>
      <c r="E132" s="15"/>
      <c r="F132" s="15" t="s">
        <v>1887</v>
      </c>
      <c r="G132" s="15"/>
      <c r="H132" s="15">
        <v>430</v>
      </c>
      <c r="I132" s="15" t="s">
        <v>253</v>
      </c>
      <c r="J132" s="62">
        <v>45650</v>
      </c>
      <c r="K132" s="15"/>
    </row>
    <row r="133" spans="1:11" ht="15.75" x14ac:dyDescent="0.25">
      <c r="A133" s="15" t="s">
        <v>1508</v>
      </c>
      <c r="B133" s="15" t="s">
        <v>379</v>
      </c>
      <c r="C133" s="15" t="s">
        <v>1987</v>
      </c>
      <c r="D133" s="62">
        <v>45684</v>
      </c>
      <c r="E133" s="15"/>
      <c r="F133" s="15" t="s">
        <v>1887</v>
      </c>
      <c r="G133" s="15"/>
      <c r="H133" s="15">
        <v>430</v>
      </c>
      <c r="I133" s="15" t="s">
        <v>253</v>
      </c>
      <c r="J133" s="62">
        <v>45684</v>
      </c>
      <c r="K133" s="15"/>
    </row>
    <row r="134" spans="1:11" ht="15.75" x14ac:dyDescent="0.25">
      <c r="A134" s="15" t="s">
        <v>1509</v>
      </c>
      <c r="B134" s="15" t="s">
        <v>380</v>
      </c>
      <c r="C134" s="15" t="s">
        <v>1988</v>
      </c>
      <c r="D134" s="62">
        <v>45681</v>
      </c>
      <c r="E134" s="15"/>
      <c r="F134" s="15" t="s">
        <v>1887</v>
      </c>
      <c r="G134" s="15"/>
      <c r="H134" s="15">
        <v>430</v>
      </c>
      <c r="I134" s="15" t="s">
        <v>253</v>
      </c>
      <c r="J134" s="62">
        <v>45681</v>
      </c>
      <c r="K134" s="15"/>
    </row>
    <row r="135" spans="1:11" ht="15.75" x14ac:dyDescent="0.25">
      <c r="A135" s="15" t="s">
        <v>1510</v>
      </c>
      <c r="B135" s="15" t="s">
        <v>381</v>
      </c>
      <c r="C135" s="15" t="s">
        <v>1989</v>
      </c>
      <c r="D135" s="62">
        <v>45690</v>
      </c>
      <c r="E135" s="15"/>
      <c r="F135" s="15" t="s">
        <v>988</v>
      </c>
      <c r="G135" s="15"/>
      <c r="H135" s="15">
        <v>430</v>
      </c>
      <c r="I135" s="15" t="s">
        <v>253</v>
      </c>
      <c r="J135" s="62">
        <v>45690</v>
      </c>
      <c r="K135" s="15"/>
    </row>
    <row r="136" spans="1:11" ht="15.75" x14ac:dyDescent="0.25">
      <c r="A136" s="15" t="s">
        <v>1511</v>
      </c>
      <c r="B136" s="15" t="s">
        <v>382</v>
      </c>
      <c r="C136" s="15" t="s">
        <v>1990</v>
      </c>
      <c r="D136" s="62">
        <v>45701</v>
      </c>
      <c r="E136" s="15"/>
      <c r="F136" s="15" t="s">
        <v>988</v>
      </c>
      <c r="G136" s="15"/>
      <c r="H136" s="15">
        <v>430</v>
      </c>
      <c r="I136" s="15" t="s">
        <v>253</v>
      </c>
      <c r="J136" s="62">
        <v>45701</v>
      </c>
      <c r="K136" s="15"/>
    </row>
    <row r="137" spans="1:11" ht="15.75" x14ac:dyDescent="0.25">
      <c r="A137" s="15" t="s">
        <v>1512</v>
      </c>
      <c r="B137" s="15" t="s">
        <v>384</v>
      </c>
      <c r="C137" s="15" t="s">
        <v>2035</v>
      </c>
      <c r="D137" s="62">
        <v>45706</v>
      </c>
      <c r="E137" s="15"/>
      <c r="F137" s="15" t="s">
        <v>1887</v>
      </c>
      <c r="G137" s="15"/>
      <c r="H137" s="15">
        <v>430</v>
      </c>
      <c r="I137" s="15" t="s">
        <v>253</v>
      </c>
      <c r="J137" s="62">
        <v>45706</v>
      </c>
      <c r="K137" s="15"/>
    </row>
    <row r="138" spans="1:11" ht="15.75" x14ac:dyDescent="0.25">
      <c r="A138" s="15" t="s">
        <v>1513</v>
      </c>
      <c r="B138" s="15" t="s">
        <v>385</v>
      </c>
      <c r="C138" s="15" t="s">
        <v>2036</v>
      </c>
      <c r="D138" s="62">
        <v>45726</v>
      </c>
      <c r="E138" s="15"/>
      <c r="F138" s="15" t="s">
        <v>1088</v>
      </c>
      <c r="G138" s="15"/>
      <c r="H138" s="15">
        <v>430</v>
      </c>
      <c r="I138" s="15" t="s">
        <v>253</v>
      </c>
      <c r="J138" s="62">
        <v>45726</v>
      </c>
      <c r="K138" s="15"/>
    </row>
    <row r="139" spans="1:11" ht="15.75" x14ac:dyDescent="0.25">
      <c r="A139" s="15" t="s">
        <v>1514</v>
      </c>
      <c r="B139" s="15" t="s">
        <v>386</v>
      </c>
      <c r="C139" s="15" t="s">
        <v>2037</v>
      </c>
      <c r="D139" s="62">
        <v>45721</v>
      </c>
      <c r="E139" s="15"/>
      <c r="F139" s="15" t="s">
        <v>1887</v>
      </c>
      <c r="G139" s="15"/>
      <c r="H139" s="15">
        <v>430</v>
      </c>
      <c r="I139" s="15" t="s">
        <v>253</v>
      </c>
      <c r="J139" s="62">
        <v>45721</v>
      </c>
      <c r="K139" s="15"/>
    </row>
    <row r="140" spans="1:11" ht="15.75" x14ac:dyDescent="0.25">
      <c r="A140" s="15" t="s">
        <v>1515</v>
      </c>
      <c r="B140" s="15" t="s">
        <v>387</v>
      </c>
      <c r="C140" s="15" t="s">
        <v>2038</v>
      </c>
      <c r="D140" s="62">
        <v>45875</v>
      </c>
      <c r="E140" s="15"/>
      <c r="F140" s="15" t="s">
        <v>988</v>
      </c>
      <c r="G140" s="15"/>
      <c r="H140" s="15">
        <v>190</v>
      </c>
      <c r="I140" s="15" t="s">
        <v>253</v>
      </c>
      <c r="J140" s="62">
        <v>45875</v>
      </c>
      <c r="K140" s="15"/>
    </row>
    <row r="141" spans="1:11" ht="15.75" x14ac:dyDescent="0.25">
      <c r="A141" s="15" t="s">
        <v>1516</v>
      </c>
      <c r="B141" s="15" t="s">
        <v>388</v>
      </c>
      <c r="C141" s="15" t="s">
        <v>2039</v>
      </c>
      <c r="D141" s="62">
        <v>45727</v>
      </c>
      <c r="E141" s="15"/>
      <c r="F141" s="15" t="s">
        <v>988</v>
      </c>
      <c r="G141" s="15"/>
      <c r="H141" s="15">
        <v>190</v>
      </c>
      <c r="I141" s="15" t="s">
        <v>253</v>
      </c>
      <c r="J141" s="62">
        <v>45727</v>
      </c>
      <c r="K141" s="15"/>
    </row>
    <row r="142" spans="1:11" ht="15.75" x14ac:dyDescent="0.25">
      <c r="A142" s="15" t="s">
        <v>1517</v>
      </c>
      <c r="B142" s="15" t="s">
        <v>392</v>
      </c>
      <c r="C142" s="15" t="s">
        <v>2040</v>
      </c>
      <c r="D142" s="62">
        <v>45750</v>
      </c>
      <c r="E142" s="15"/>
      <c r="F142" s="15" t="s">
        <v>988</v>
      </c>
      <c r="G142" s="15"/>
      <c r="H142" s="15">
        <v>430</v>
      </c>
      <c r="I142" s="15" t="s">
        <v>253</v>
      </c>
      <c r="J142" s="62">
        <v>45750</v>
      </c>
      <c r="K142" s="15"/>
    </row>
    <row r="143" spans="1:11" ht="15.75" x14ac:dyDescent="0.25">
      <c r="A143" s="15" t="s">
        <v>1518</v>
      </c>
      <c r="B143" s="15" t="s">
        <v>393</v>
      </c>
      <c r="C143" s="15" t="s">
        <v>2041</v>
      </c>
      <c r="D143" s="62">
        <v>45777</v>
      </c>
      <c r="E143" s="15"/>
      <c r="F143" s="15" t="s">
        <v>988</v>
      </c>
      <c r="G143" s="15"/>
      <c r="H143" s="15">
        <v>430</v>
      </c>
      <c r="I143" s="15" t="s">
        <v>253</v>
      </c>
      <c r="J143" s="62">
        <v>45777</v>
      </c>
      <c r="K143" s="15"/>
    </row>
    <row r="144" spans="1:11" ht="15.75" x14ac:dyDescent="0.25">
      <c r="A144" s="15" t="s">
        <v>1519</v>
      </c>
      <c r="B144" s="15" t="s">
        <v>412</v>
      </c>
      <c r="C144" s="15" t="s">
        <v>1062</v>
      </c>
      <c r="D144" s="62">
        <v>45881</v>
      </c>
      <c r="E144" s="62">
        <v>45894</v>
      </c>
      <c r="F144" s="15" t="s">
        <v>2323</v>
      </c>
      <c r="G144" s="15"/>
      <c r="H144" s="15">
        <v>250</v>
      </c>
      <c r="I144" s="15" t="s">
        <v>253</v>
      </c>
      <c r="J144" s="62">
        <v>45881</v>
      </c>
      <c r="K144" s="15"/>
    </row>
    <row r="145" spans="1:11" ht="15.75" x14ac:dyDescent="0.25">
      <c r="A145" s="15" t="s">
        <v>1520</v>
      </c>
      <c r="B145" s="15" t="s">
        <v>413</v>
      </c>
      <c r="C145" s="15" t="s">
        <v>2042</v>
      </c>
      <c r="D145" s="62">
        <v>45873</v>
      </c>
      <c r="E145" s="15"/>
      <c r="F145" s="15" t="s">
        <v>988</v>
      </c>
      <c r="G145" s="15"/>
      <c r="H145" s="15">
        <v>450</v>
      </c>
      <c r="I145" s="15" t="s">
        <v>253</v>
      </c>
      <c r="J145" s="62">
        <v>45873</v>
      </c>
      <c r="K145" s="15"/>
    </row>
    <row r="146" spans="1:11" ht="15.75" x14ac:dyDescent="0.25">
      <c r="A146" s="15" t="s">
        <v>1521</v>
      </c>
      <c r="B146" s="15" t="s">
        <v>414</v>
      </c>
      <c r="C146" s="15" t="s">
        <v>111</v>
      </c>
      <c r="D146" s="62">
        <v>45882</v>
      </c>
      <c r="E146" s="15"/>
      <c r="F146" s="15" t="s">
        <v>2323</v>
      </c>
      <c r="G146" s="15"/>
      <c r="H146" s="15">
        <v>500</v>
      </c>
      <c r="I146" s="15" t="s">
        <v>253</v>
      </c>
      <c r="J146" s="62">
        <v>45882</v>
      </c>
      <c r="K146" s="15"/>
    </row>
    <row r="147" spans="1:11" ht="15.75" x14ac:dyDescent="0.25">
      <c r="A147" s="15" t="s">
        <v>1522</v>
      </c>
      <c r="B147" s="15" t="s">
        <v>415</v>
      </c>
      <c r="C147" s="15" t="s">
        <v>1098</v>
      </c>
      <c r="D147" s="62">
        <v>45883</v>
      </c>
      <c r="E147" s="15"/>
      <c r="F147" s="15" t="s">
        <v>988</v>
      </c>
      <c r="G147" s="15"/>
      <c r="H147" s="15">
        <v>500</v>
      </c>
      <c r="I147" s="15" t="s">
        <v>253</v>
      </c>
      <c r="J147" s="62">
        <v>45883</v>
      </c>
      <c r="K147" s="15"/>
    </row>
    <row r="148" spans="1:11" ht="15.75" x14ac:dyDescent="0.25">
      <c r="A148" s="15" t="s">
        <v>1523</v>
      </c>
      <c r="B148" s="15" t="s">
        <v>416</v>
      </c>
      <c r="C148" s="15" t="s">
        <v>1099</v>
      </c>
      <c r="D148" s="62">
        <v>45884</v>
      </c>
      <c r="E148" s="15"/>
      <c r="F148" s="15" t="s">
        <v>1887</v>
      </c>
      <c r="G148" s="15"/>
      <c r="H148" s="15">
        <v>250</v>
      </c>
      <c r="I148" s="15" t="s">
        <v>253</v>
      </c>
      <c r="J148" s="62">
        <v>45884</v>
      </c>
      <c r="K148" s="15"/>
    </row>
    <row r="149" spans="1:11" ht="15.75" x14ac:dyDescent="0.25">
      <c r="A149" s="15" t="s">
        <v>1524</v>
      </c>
      <c r="B149" s="15" t="s">
        <v>416</v>
      </c>
      <c r="C149" s="15" t="s">
        <v>1063</v>
      </c>
      <c r="D149" s="62">
        <v>45884</v>
      </c>
      <c r="E149" s="15"/>
      <c r="F149" s="15" t="s">
        <v>1887</v>
      </c>
      <c r="G149" s="15"/>
      <c r="H149" s="15">
        <v>180</v>
      </c>
      <c r="I149" s="15" t="s">
        <v>253</v>
      </c>
      <c r="J149" s="62">
        <v>45884</v>
      </c>
      <c r="K149" s="15"/>
    </row>
    <row r="150" spans="1:11" ht="15.75" x14ac:dyDescent="0.25">
      <c r="A150" s="15" t="s">
        <v>1525</v>
      </c>
      <c r="B150" s="15" t="s">
        <v>417</v>
      </c>
      <c r="C150" s="15" t="s">
        <v>1320</v>
      </c>
      <c r="D150" s="62">
        <v>45886</v>
      </c>
      <c r="E150" s="15"/>
      <c r="F150" s="15" t="s">
        <v>988</v>
      </c>
      <c r="G150" s="62">
        <v>45892</v>
      </c>
      <c r="H150" s="15">
        <v>100</v>
      </c>
      <c r="I150" s="15" t="s">
        <v>253</v>
      </c>
      <c r="J150" s="62">
        <v>45886</v>
      </c>
      <c r="K150" s="15" t="s">
        <v>2366</v>
      </c>
    </row>
    <row r="151" spans="1:11" ht="15.75" x14ac:dyDescent="0.25">
      <c r="A151" s="15" t="s">
        <v>1526</v>
      </c>
      <c r="B151" s="15" t="s">
        <v>280</v>
      </c>
      <c r="C151" s="15" t="s">
        <v>1165</v>
      </c>
      <c r="D151" s="62">
        <v>45890</v>
      </c>
      <c r="E151" s="15"/>
      <c r="F151" s="15" t="s">
        <v>1093</v>
      </c>
      <c r="G151" s="15"/>
      <c r="H151" s="15">
        <v>0</v>
      </c>
      <c r="I151" s="15" t="s">
        <v>2187</v>
      </c>
      <c r="J151" s="62">
        <v>45890</v>
      </c>
      <c r="K151" s="15" t="s">
        <v>2367</v>
      </c>
    </row>
    <row r="152" spans="1:11" ht="15.75" x14ac:dyDescent="0.25">
      <c r="A152" s="15" t="s">
        <v>1527</v>
      </c>
      <c r="B152" s="15" t="s">
        <v>419</v>
      </c>
      <c r="C152" s="15" t="s">
        <v>1607</v>
      </c>
      <c r="D152" s="62">
        <v>45889</v>
      </c>
      <c r="E152" s="15"/>
      <c r="F152" s="15" t="s">
        <v>988</v>
      </c>
      <c r="G152" s="15"/>
      <c r="H152" s="15">
        <v>200</v>
      </c>
      <c r="I152" s="15" t="s">
        <v>253</v>
      </c>
      <c r="J152" s="62">
        <v>45889</v>
      </c>
      <c r="K152" s="15"/>
    </row>
    <row r="153" spans="1:11" ht="15.75" x14ac:dyDescent="0.25">
      <c r="A153" s="15" t="s">
        <v>1528</v>
      </c>
      <c r="B153" s="15" t="s">
        <v>328</v>
      </c>
      <c r="C153" s="15" t="s">
        <v>2043</v>
      </c>
      <c r="D153" s="62">
        <v>45833</v>
      </c>
      <c r="E153" s="15"/>
      <c r="F153" s="15" t="s">
        <v>988</v>
      </c>
      <c r="G153" s="15"/>
      <c r="H153" s="15">
        <v>60</v>
      </c>
      <c r="I153" s="15" t="s">
        <v>253</v>
      </c>
      <c r="J153" s="62">
        <v>45833</v>
      </c>
      <c r="K153" s="15" t="s">
        <v>2190</v>
      </c>
    </row>
    <row r="154" spans="1:11" ht="15.75" x14ac:dyDescent="0.25">
      <c r="A154" s="15" t="s">
        <v>1529</v>
      </c>
      <c r="B154" s="15" t="s">
        <v>420</v>
      </c>
      <c r="C154" s="15" t="s">
        <v>1165</v>
      </c>
      <c r="D154" s="62">
        <v>45890</v>
      </c>
      <c r="E154" s="15"/>
      <c r="F154" s="15" t="s">
        <v>1093</v>
      </c>
      <c r="G154" s="15"/>
      <c r="H154" s="15">
        <v>80</v>
      </c>
      <c r="I154" s="15" t="s">
        <v>671</v>
      </c>
      <c r="J154" s="62">
        <v>45890</v>
      </c>
      <c r="K154" s="15"/>
    </row>
    <row r="155" spans="1:11" ht="15.75" x14ac:dyDescent="0.25">
      <c r="A155" s="15" t="s">
        <v>1530</v>
      </c>
      <c r="B155" s="15" t="s">
        <v>310</v>
      </c>
      <c r="C155" s="15" t="s">
        <v>2046</v>
      </c>
      <c r="D155" s="62">
        <v>45615</v>
      </c>
      <c r="E155" s="15"/>
      <c r="F155" s="15" t="s">
        <v>988</v>
      </c>
      <c r="G155" s="15"/>
      <c r="H155" s="15" t="s">
        <v>1239</v>
      </c>
      <c r="I155" s="15" t="s">
        <v>253</v>
      </c>
      <c r="J155" s="62">
        <v>45615</v>
      </c>
      <c r="K155" s="15"/>
    </row>
    <row r="156" spans="1:11" ht="15.75" x14ac:dyDescent="0.25">
      <c r="A156" s="15" t="s">
        <v>1531</v>
      </c>
      <c r="B156" s="15" t="s">
        <v>421</v>
      </c>
      <c r="C156" s="15" t="s">
        <v>1018</v>
      </c>
      <c r="D156" s="62">
        <v>45891</v>
      </c>
      <c r="E156" s="15"/>
      <c r="F156" s="15" t="s">
        <v>1887</v>
      </c>
      <c r="G156" s="15" t="s">
        <v>1132</v>
      </c>
      <c r="H156" s="15">
        <v>430</v>
      </c>
      <c r="I156" s="15" t="s">
        <v>253</v>
      </c>
      <c r="J156" s="62">
        <v>45891</v>
      </c>
      <c r="K156" s="15"/>
    </row>
    <row r="157" spans="1:11" ht="15.75" x14ac:dyDescent="0.25">
      <c r="A157" s="15" t="s">
        <v>1532</v>
      </c>
      <c r="B157" s="15" t="s">
        <v>422</v>
      </c>
      <c r="C157" s="15" t="s">
        <v>1079</v>
      </c>
      <c r="D157" s="62">
        <v>45891</v>
      </c>
      <c r="E157" s="15"/>
      <c r="F157" s="15" t="s">
        <v>1887</v>
      </c>
      <c r="G157" s="15"/>
      <c r="H157" s="15">
        <v>190</v>
      </c>
      <c r="I157" s="15" t="s">
        <v>253</v>
      </c>
      <c r="J157" s="62">
        <v>45891</v>
      </c>
      <c r="K157" s="15"/>
    </row>
    <row r="158" spans="1:11" ht="15.75" x14ac:dyDescent="0.25">
      <c r="A158" s="15" t="s">
        <v>1533</v>
      </c>
      <c r="B158" s="15" t="s">
        <v>422</v>
      </c>
      <c r="C158" s="15" t="s">
        <v>1608</v>
      </c>
      <c r="D158" s="62">
        <v>45891</v>
      </c>
      <c r="E158" s="15"/>
      <c r="F158" s="15" t="s">
        <v>1887</v>
      </c>
      <c r="G158" s="15" t="s">
        <v>1132</v>
      </c>
      <c r="H158" s="15" t="s">
        <v>1239</v>
      </c>
      <c r="I158" s="15" t="s">
        <v>253</v>
      </c>
      <c r="J158" s="62">
        <v>45891</v>
      </c>
      <c r="K158" s="15"/>
    </row>
    <row r="159" spans="1:11" ht="15.75" x14ac:dyDescent="0.25">
      <c r="A159" s="15" t="s">
        <v>1534</v>
      </c>
      <c r="B159" s="15" t="s">
        <v>389</v>
      </c>
      <c r="C159" s="15" t="s">
        <v>2048</v>
      </c>
      <c r="D159" s="62">
        <v>45751</v>
      </c>
      <c r="E159" s="15"/>
      <c r="F159" s="15" t="s">
        <v>1088</v>
      </c>
      <c r="G159" s="15"/>
      <c r="H159" s="15">
        <v>190</v>
      </c>
      <c r="I159" s="15" t="s">
        <v>671</v>
      </c>
      <c r="J159" s="62">
        <v>45751</v>
      </c>
      <c r="K159" s="15"/>
    </row>
    <row r="160" spans="1:11" ht="15.75" x14ac:dyDescent="0.25">
      <c r="A160" s="15" t="s">
        <v>1535</v>
      </c>
      <c r="B160" s="15" t="s">
        <v>389</v>
      </c>
      <c r="C160" s="15" t="s">
        <v>2049</v>
      </c>
      <c r="D160" s="62">
        <v>45751</v>
      </c>
      <c r="E160" s="15"/>
      <c r="F160" s="15" t="s">
        <v>1088</v>
      </c>
      <c r="G160" s="15"/>
      <c r="H160" s="15">
        <v>430</v>
      </c>
      <c r="I160" s="15" t="s">
        <v>253</v>
      </c>
      <c r="J160" s="62">
        <v>45752</v>
      </c>
      <c r="K160" s="15"/>
    </row>
    <row r="161" spans="1:11" ht="15.75" x14ac:dyDescent="0.25">
      <c r="A161" s="15" t="s">
        <v>2222</v>
      </c>
      <c r="B161" s="15" t="s">
        <v>390</v>
      </c>
      <c r="C161" s="15" t="s">
        <v>2050</v>
      </c>
      <c r="D161" s="62">
        <v>45736</v>
      </c>
      <c r="E161" s="15"/>
      <c r="F161" s="15" t="s">
        <v>1088</v>
      </c>
      <c r="G161" s="15"/>
      <c r="H161" s="15">
        <v>430</v>
      </c>
      <c r="I161" s="15" t="s">
        <v>253</v>
      </c>
      <c r="J161" s="62">
        <v>45736</v>
      </c>
      <c r="K161" s="15"/>
    </row>
    <row r="162" spans="1:11" ht="15.75" x14ac:dyDescent="0.25">
      <c r="A162" s="15" t="s">
        <v>2223</v>
      </c>
      <c r="B162" s="15" t="s">
        <v>391</v>
      </c>
      <c r="C162" s="15" t="s">
        <v>1606</v>
      </c>
      <c r="D162" s="62">
        <v>45742</v>
      </c>
      <c r="E162" s="15"/>
      <c r="F162" s="15" t="s">
        <v>1088</v>
      </c>
      <c r="G162" s="15"/>
      <c r="H162" s="15">
        <v>430</v>
      </c>
      <c r="I162" s="15" t="s">
        <v>253</v>
      </c>
      <c r="J162" s="62">
        <v>45742</v>
      </c>
      <c r="K162" s="15"/>
    </row>
    <row r="163" spans="1:11" ht="15.75" x14ac:dyDescent="0.25">
      <c r="A163" s="15" t="s">
        <v>2224</v>
      </c>
      <c r="B163" s="15" t="s">
        <v>400</v>
      </c>
      <c r="C163" s="15" t="s">
        <v>2052</v>
      </c>
      <c r="D163" s="62">
        <v>45797</v>
      </c>
      <c r="E163" s="15"/>
      <c r="F163" s="15" t="s">
        <v>1088</v>
      </c>
      <c r="G163" s="15"/>
      <c r="H163" s="15">
        <v>190</v>
      </c>
      <c r="I163" s="15" t="s">
        <v>253</v>
      </c>
      <c r="J163" s="62">
        <v>45797</v>
      </c>
      <c r="K163" s="15"/>
    </row>
    <row r="164" spans="1:11" ht="15.75" x14ac:dyDescent="0.25">
      <c r="A164" s="15" t="s">
        <v>2225</v>
      </c>
      <c r="B164" s="15" t="s">
        <v>401</v>
      </c>
      <c r="C164" s="15" t="s">
        <v>2053</v>
      </c>
      <c r="D164" s="62">
        <v>45796</v>
      </c>
      <c r="E164" s="15"/>
      <c r="F164" s="15" t="s">
        <v>1088</v>
      </c>
      <c r="G164" s="15"/>
      <c r="H164" s="15">
        <v>430</v>
      </c>
      <c r="I164" s="15" t="s">
        <v>253</v>
      </c>
      <c r="J164" s="62">
        <v>45796</v>
      </c>
      <c r="K164" s="15"/>
    </row>
    <row r="165" spans="1:11" ht="15.75" x14ac:dyDescent="0.25">
      <c r="A165" s="15" t="s">
        <v>2226</v>
      </c>
      <c r="B165" s="15" t="s">
        <v>402</v>
      </c>
      <c r="C165" s="15" t="s">
        <v>2054</v>
      </c>
      <c r="D165" s="62">
        <v>45817</v>
      </c>
      <c r="E165" s="15"/>
      <c r="F165" s="15" t="s">
        <v>1088</v>
      </c>
      <c r="G165" s="15"/>
      <c r="H165" s="15">
        <v>190</v>
      </c>
      <c r="I165" s="15" t="s">
        <v>68</v>
      </c>
      <c r="J165" s="62">
        <v>45817</v>
      </c>
      <c r="K165" s="15"/>
    </row>
    <row r="166" spans="1:11" ht="15.75" x14ac:dyDescent="0.25">
      <c r="A166" s="15" t="s">
        <v>2227</v>
      </c>
      <c r="B166" s="15" t="s">
        <v>403</v>
      </c>
      <c r="C166" s="15" t="s">
        <v>2055</v>
      </c>
      <c r="D166" s="62">
        <v>45798</v>
      </c>
      <c r="E166" s="15"/>
      <c r="F166" s="15" t="s">
        <v>1088</v>
      </c>
      <c r="G166" s="15"/>
      <c r="H166" s="15">
        <v>190</v>
      </c>
      <c r="I166" s="15" t="s">
        <v>253</v>
      </c>
      <c r="J166" s="62">
        <v>45798</v>
      </c>
      <c r="K166" s="15"/>
    </row>
    <row r="167" spans="1:11" ht="15.75" x14ac:dyDescent="0.25">
      <c r="A167" s="15" t="s">
        <v>2228</v>
      </c>
      <c r="B167" s="15" t="s">
        <v>403</v>
      </c>
      <c r="C167" s="15" t="s">
        <v>2056</v>
      </c>
      <c r="D167" s="62">
        <v>45798</v>
      </c>
      <c r="E167" s="15"/>
      <c r="F167" s="15" t="s">
        <v>1088</v>
      </c>
      <c r="G167" s="15"/>
      <c r="H167" s="15">
        <v>430</v>
      </c>
      <c r="I167" s="15" t="s">
        <v>671</v>
      </c>
      <c r="J167" s="62">
        <v>45798</v>
      </c>
      <c r="K167" s="15" t="s">
        <v>2254</v>
      </c>
    </row>
    <row r="168" spans="1:11" ht="15.75" x14ac:dyDescent="0.25">
      <c r="A168" s="15" t="s">
        <v>2229</v>
      </c>
      <c r="B168" s="15" t="s">
        <v>404</v>
      </c>
      <c r="C168" s="15" t="s">
        <v>2057</v>
      </c>
      <c r="D168" s="62">
        <v>45825</v>
      </c>
      <c r="E168" s="15"/>
      <c r="F168" s="15" t="s">
        <v>1088</v>
      </c>
      <c r="G168" s="15"/>
      <c r="H168" s="15">
        <v>190</v>
      </c>
      <c r="I168" s="15" t="s">
        <v>253</v>
      </c>
      <c r="J168" s="62">
        <v>45825</v>
      </c>
      <c r="K168" s="15"/>
    </row>
    <row r="169" spans="1:11" ht="15.75" x14ac:dyDescent="0.25">
      <c r="A169" s="15" t="s">
        <v>2230</v>
      </c>
      <c r="B169" s="15" t="s">
        <v>405</v>
      </c>
      <c r="C169" s="15" t="s">
        <v>2058</v>
      </c>
      <c r="D169" s="62">
        <v>45821</v>
      </c>
      <c r="E169" s="15"/>
      <c r="F169" s="15" t="s">
        <v>1088</v>
      </c>
      <c r="G169" s="15"/>
      <c r="H169" s="15">
        <v>190</v>
      </c>
      <c r="I169" s="15" t="s">
        <v>253</v>
      </c>
      <c r="J169" s="62">
        <v>45821</v>
      </c>
      <c r="K169" s="15"/>
    </row>
    <row r="170" spans="1:11" ht="15.75" x14ac:dyDescent="0.25">
      <c r="A170" s="15" t="s">
        <v>2231</v>
      </c>
      <c r="B170" s="15" t="s">
        <v>406</v>
      </c>
      <c r="C170" s="15" t="s">
        <v>2059</v>
      </c>
      <c r="D170" s="62">
        <v>45841</v>
      </c>
      <c r="E170" s="15"/>
      <c r="F170" s="15" t="s">
        <v>1088</v>
      </c>
      <c r="G170" s="15"/>
      <c r="H170" s="15">
        <v>190</v>
      </c>
      <c r="I170" s="15" t="s">
        <v>253</v>
      </c>
      <c r="J170" s="62">
        <v>45841</v>
      </c>
      <c r="K170" s="15"/>
    </row>
    <row r="171" spans="1:11" ht="15.75" x14ac:dyDescent="0.25">
      <c r="A171" s="15" t="s">
        <v>2232</v>
      </c>
      <c r="B171" s="15" t="s">
        <v>407</v>
      </c>
      <c r="C171" s="15" t="s">
        <v>2269</v>
      </c>
      <c r="D171" s="62">
        <v>45871</v>
      </c>
      <c r="E171" s="15"/>
      <c r="F171" s="15" t="s">
        <v>1088</v>
      </c>
      <c r="G171" s="15"/>
      <c r="H171" s="15">
        <v>190</v>
      </c>
      <c r="I171" s="15" t="s">
        <v>253</v>
      </c>
      <c r="J171" s="62">
        <v>45871</v>
      </c>
      <c r="K171" s="15"/>
    </row>
    <row r="172" spans="1:11" ht="15.75" x14ac:dyDescent="0.25">
      <c r="A172" s="15" t="s">
        <v>2273</v>
      </c>
      <c r="B172" s="15" t="s">
        <v>407</v>
      </c>
      <c r="C172" s="15" t="s">
        <v>2270</v>
      </c>
      <c r="D172" s="62">
        <v>45871</v>
      </c>
      <c r="E172" s="15"/>
      <c r="F172" s="15" t="s">
        <v>1088</v>
      </c>
      <c r="G172" s="15"/>
      <c r="H172" s="15">
        <v>430</v>
      </c>
      <c r="I172" s="15" t="s">
        <v>253</v>
      </c>
      <c r="J172" s="62">
        <v>45871</v>
      </c>
      <c r="K172" s="15"/>
    </row>
    <row r="173" spans="1:11" ht="15.75" x14ac:dyDescent="0.25">
      <c r="A173" s="15" t="s">
        <v>2280</v>
      </c>
      <c r="B173" s="15" t="s">
        <v>408</v>
      </c>
      <c r="C173" s="15" t="s">
        <v>2277</v>
      </c>
      <c r="D173" s="62">
        <v>45874</v>
      </c>
      <c r="E173" s="15"/>
      <c r="F173" s="15" t="s">
        <v>1088</v>
      </c>
      <c r="G173" s="15"/>
      <c r="H173" s="15">
        <v>190</v>
      </c>
      <c r="I173" s="15" t="s">
        <v>253</v>
      </c>
      <c r="J173" s="62">
        <v>45874</v>
      </c>
      <c r="K173" s="15"/>
    </row>
    <row r="174" spans="1:11" ht="15.75" x14ac:dyDescent="0.25">
      <c r="A174" s="15" t="s">
        <v>2289</v>
      </c>
      <c r="B174" s="15" t="s">
        <v>409</v>
      </c>
      <c r="C174" s="15" t="s">
        <v>2287</v>
      </c>
      <c r="D174" s="62">
        <v>45807</v>
      </c>
      <c r="E174" s="15"/>
      <c r="F174" s="15" t="s">
        <v>1088</v>
      </c>
      <c r="G174" s="15"/>
      <c r="H174" s="15">
        <v>430</v>
      </c>
      <c r="I174" s="15" t="s">
        <v>253</v>
      </c>
      <c r="J174" s="62">
        <v>45807</v>
      </c>
      <c r="K174" s="15"/>
    </row>
    <row r="175" spans="1:11" ht="15.75" x14ac:dyDescent="0.25">
      <c r="A175" s="15" t="s">
        <v>2296</v>
      </c>
      <c r="B175" s="15" t="s">
        <v>410</v>
      </c>
      <c r="C175" s="15" t="s">
        <v>2293</v>
      </c>
      <c r="D175" s="62">
        <v>45864</v>
      </c>
      <c r="E175" s="15"/>
      <c r="F175" s="15" t="s">
        <v>1088</v>
      </c>
      <c r="G175" s="15"/>
      <c r="H175" s="15">
        <v>430</v>
      </c>
      <c r="I175" s="15" t="s">
        <v>253</v>
      </c>
      <c r="J175" s="62">
        <v>45864</v>
      </c>
      <c r="K175" s="15"/>
    </row>
    <row r="176" spans="1:11" ht="15.75" x14ac:dyDescent="0.25">
      <c r="A176" s="15" t="s">
        <v>2301</v>
      </c>
      <c r="B176" s="15" t="s">
        <v>411</v>
      </c>
      <c r="C176" s="15" t="s">
        <v>2298</v>
      </c>
      <c r="D176" s="15" t="s">
        <v>984</v>
      </c>
      <c r="E176" s="15"/>
      <c r="F176" s="15" t="s">
        <v>1088</v>
      </c>
      <c r="G176" s="15"/>
      <c r="H176" s="15">
        <v>430</v>
      </c>
      <c r="I176" s="15" t="s">
        <v>253</v>
      </c>
      <c r="J176" s="15" t="s">
        <v>984</v>
      </c>
      <c r="K176" s="15"/>
    </row>
    <row r="177" spans="1:11" ht="15.75" x14ac:dyDescent="0.25">
      <c r="A177" s="15" t="s">
        <v>2306</v>
      </c>
      <c r="B177" s="15" t="s">
        <v>394</v>
      </c>
      <c r="C177" s="15" t="s">
        <v>2303</v>
      </c>
      <c r="D177" s="62">
        <v>45785</v>
      </c>
      <c r="E177" s="15"/>
      <c r="F177" s="15" t="s">
        <v>1887</v>
      </c>
      <c r="G177" s="15"/>
      <c r="H177" s="15">
        <v>430</v>
      </c>
      <c r="I177" s="15" t="s">
        <v>253</v>
      </c>
      <c r="J177" s="62">
        <v>45785</v>
      </c>
      <c r="K177" s="15"/>
    </row>
    <row r="178" spans="1:11" ht="15.75" x14ac:dyDescent="0.25">
      <c r="A178" s="15" t="s">
        <v>2312</v>
      </c>
      <c r="B178" s="15" t="s">
        <v>395</v>
      </c>
      <c r="C178" s="15" t="s">
        <v>2309</v>
      </c>
      <c r="D178" s="62">
        <v>45810</v>
      </c>
      <c r="E178" s="15"/>
      <c r="F178" s="15" t="s">
        <v>1887</v>
      </c>
      <c r="G178" s="15"/>
      <c r="H178" s="15">
        <v>430</v>
      </c>
      <c r="I178" s="15" t="s">
        <v>253</v>
      </c>
      <c r="J178" s="62">
        <v>45810</v>
      </c>
      <c r="K178" s="15"/>
    </row>
    <row r="179" spans="1:11" ht="15.75" x14ac:dyDescent="0.25">
      <c r="A179" s="15" t="s">
        <v>2332</v>
      </c>
      <c r="B179" s="15" t="s">
        <v>418</v>
      </c>
      <c r="C179" s="15" t="s">
        <v>1321</v>
      </c>
      <c r="D179" s="62">
        <v>45889</v>
      </c>
      <c r="E179" s="15"/>
      <c r="F179" s="15" t="s">
        <v>1992</v>
      </c>
      <c r="G179" s="15"/>
      <c r="H179" s="15">
        <v>0</v>
      </c>
      <c r="I179" s="15" t="s">
        <v>253</v>
      </c>
      <c r="J179" s="62">
        <v>45889</v>
      </c>
      <c r="K179" s="15"/>
    </row>
    <row r="180" spans="1:11" ht="15.75" x14ac:dyDescent="0.25">
      <c r="A180" s="15"/>
      <c r="B180" s="15"/>
      <c r="C180" s="15"/>
      <c r="D180" s="62"/>
      <c r="E180" s="15"/>
      <c r="F180" s="15"/>
      <c r="G180" s="15"/>
      <c r="H180" s="15"/>
      <c r="I180" s="15"/>
      <c r="J180" s="62"/>
      <c r="K180" s="15"/>
    </row>
    <row r="181" spans="1:11" ht="15.75" x14ac:dyDescent="0.25">
      <c r="A181" s="15" t="s">
        <v>2347</v>
      </c>
      <c r="B181" s="15" t="s">
        <v>396</v>
      </c>
      <c r="C181" s="15" t="s">
        <v>1164</v>
      </c>
      <c r="D181" s="62">
        <v>45885</v>
      </c>
      <c r="E181" s="15"/>
      <c r="F181" s="15" t="s">
        <v>1887</v>
      </c>
      <c r="G181" s="15"/>
      <c r="H181" s="15">
        <v>200</v>
      </c>
      <c r="I181" s="15" t="s">
        <v>253</v>
      </c>
      <c r="J181" s="62">
        <v>38580</v>
      </c>
      <c r="K181" s="15"/>
    </row>
    <row r="182" spans="1:11" ht="15.75" x14ac:dyDescent="0.25">
      <c r="A182" s="15" t="s">
        <v>2362</v>
      </c>
      <c r="B182" s="15" t="s">
        <v>424</v>
      </c>
      <c r="C182" s="15" t="s">
        <v>1097</v>
      </c>
      <c r="D182" s="62">
        <v>45892</v>
      </c>
      <c r="E182" s="15"/>
      <c r="F182" s="15" t="s">
        <v>988</v>
      </c>
      <c r="G182" s="15"/>
      <c r="H182" s="15">
        <v>190</v>
      </c>
      <c r="I182" s="15" t="s">
        <v>253</v>
      </c>
      <c r="J182" s="62">
        <v>45892</v>
      </c>
      <c r="K182" s="15"/>
    </row>
    <row r="183" spans="1:11" ht="15.75" x14ac:dyDescent="0.25">
      <c r="A183" s="15" t="s">
        <v>2363</v>
      </c>
      <c r="B183" s="15" t="s">
        <v>424</v>
      </c>
      <c r="C183" s="15" t="s">
        <v>1165</v>
      </c>
      <c r="D183" s="62">
        <v>45892</v>
      </c>
      <c r="E183" s="15"/>
      <c r="F183" s="15" t="s">
        <v>988</v>
      </c>
      <c r="G183" s="15"/>
      <c r="H183" s="15" t="s">
        <v>984</v>
      </c>
      <c r="I183" s="15" t="s">
        <v>253</v>
      </c>
      <c r="J183" s="62">
        <v>45892</v>
      </c>
      <c r="K183" s="15" t="s">
        <v>2364</v>
      </c>
    </row>
    <row r="184" spans="1:11" ht="15.75" x14ac:dyDescent="0.25">
      <c r="A184" s="15"/>
      <c r="B184" s="15"/>
      <c r="C184" s="15"/>
      <c r="D184" s="62"/>
      <c r="E184" s="15"/>
      <c r="F184" s="15"/>
      <c r="G184" s="15"/>
      <c r="H184" s="15"/>
      <c r="I184" s="15"/>
      <c r="J184" s="62"/>
      <c r="K184" s="15"/>
    </row>
    <row r="185" spans="1:11" ht="15.75" x14ac:dyDescent="0.25">
      <c r="A185" s="111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</sheetData>
  <autoFilter ref="A1:K184" xr:uid="{00000000-0001-0000-0400-000000000000}"/>
  <phoneticPr fontId="11" type="noConversion"/>
  <pageMargins left="0.75" right="0.75" top="1" bottom="1" header="0.5" footer="0.5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32"/>
  <sheetViews>
    <sheetView workbookViewId="0">
      <selection activeCell="D312" sqref="D312"/>
    </sheetView>
  </sheetViews>
  <sheetFormatPr defaultRowHeight="15" x14ac:dyDescent="0.25"/>
  <cols>
    <col min="1" max="2" width="15" customWidth="1"/>
    <col min="3" max="3" width="16.85546875" bestFit="1" customWidth="1"/>
    <col min="4" max="4" width="27.85546875" customWidth="1"/>
    <col min="5" max="5" width="24.85546875" customWidth="1"/>
    <col min="6" max="6" width="18.42578125" customWidth="1"/>
    <col min="7" max="7" width="17.85546875" customWidth="1"/>
    <col min="8" max="8" width="15" customWidth="1"/>
    <col min="9" max="9" width="24.42578125" customWidth="1"/>
    <col min="10" max="10" width="13.85546875" customWidth="1"/>
    <col min="14" max="14" width="33" customWidth="1"/>
  </cols>
  <sheetData>
    <row r="1" spans="1:10" x14ac:dyDescent="0.25">
      <c r="A1" s="2" t="s">
        <v>150</v>
      </c>
      <c r="B1" s="2" t="s">
        <v>144</v>
      </c>
      <c r="C1" s="2" t="s">
        <v>151</v>
      </c>
      <c r="D1" s="2" t="s">
        <v>1148</v>
      </c>
      <c r="E1" s="2" t="s">
        <v>1149</v>
      </c>
      <c r="F1" s="2" t="s">
        <v>152</v>
      </c>
      <c r="G1" s="2" t="s">
        <v>153</v>
      </c>
      <c r="H1" s="2" t="s">
        <v>154</v>
      </c>
      <c r="I1" s="2" t="s">
        <v>2496</v>
      </c>
      <c r="J1" s="4"/>
    </row>
    <row r="2" spans="1:10" ht="15" customHeight="1" x14ac:dyDescent="0.25">
      <c r="A2" s="15" t="s">
        <v>155</v>
      </c>
      <c r="B2" s="15" t="s">
        <v>23</v>
      </c>
      <c r="C2" s="15">
        <v>1</v>
      </c>
      <c r="D2" s="62">
        <v>44084</v>
      </c>
      <c r="E2" s="62">
        <v>45715</v>
      </c>
      <c r="F2" s="63">
        <f>ROUND((E2-D2+1)/30,0)*INDEX(DB_Locations!H:H,MATCH(B2,DB_Locations!A:A,0))</f>
        <v>23220</v>
      </c>
      <c r="G2" s="15" t="s">
        <v>67</v>
      </c>
      <c r="H2" s="165">
        <f t="array" ref="H2">IF(C2=1,
    D2-VLOOKUP(B2,DB_Locations!A:D,4,FALSE),
    D2-INDEX(DB_Paiements!$E$2:$E$1000,MATCH(B2&amp;(C2-1),DB_Paiements!$B$2:$B$1000&amp;DB_Paiements!$C$2:$C$1000,0))
)</f>
        <v>0</v>
      </c>
      <c r="I2" s="111"/>
      <c r="J2" s="4"/>
    </row>
    <row r="3" spans="1:10" ht="15.75" x14ac:dyDescent="0.25">
      <c r="A3" s="15" t="s">
        <v>156</v>
      </c>
      <c r="B3" s="15" t="s">
        <v>23</v>
      </c>
      <c r="C3" s="15">
        <v>2</v>
      </c>
      <c r="D3" s="62">
        <v>45715</v>
      </c>
      <c r="E3" s="62">
        <v>45895</v>
      </c>
      <c r="F3" s="63">
        <f>ROUND((E3-D3+1)/30,0)*INDEX(DB_Locations!H:H,MATCH(B3,DB_Locations!A:A,0))</f>
        <v>2580</v>
      </c>
      <c r="G3" s="15" t="s">
        <v>67</v>
      </c>
      <c r="H3" s="165">
        <f t="array" ref="H3">IF(C3=1,
    D3-VLOOKUP(B3,DB_Locations!A:D,4,FALSE),
    D3-INDEX(DB_Paiements!$E$2:$E$1000,MATCH(B3&amp;(C3-1),DB_Paiements!$B$2:$B$1000&amp;DB_Paiements!$C$2:$C$1000,0))
)</f>
        <v>0</v>
      </c>
      <c r="I3" s="111"/>
    </row>
    <row r="4" spans="1:10" ht="15.75" x14ac:dyDescent="0.25">
      <c r="A4" s="15" t="s">
        <v>157</v>
      </c>
      <c r="B4" s="15" t="s">
        <v>25</v>
      </c>
      <c r="C4" s="15">
        <v>1</v>
      </c>
      <c r="D4" s="62">
        <v>43388</v>
      </c>
      <c r="E4" s="62">
        <v>45712</v>
      </c>
      <c r="F4" s="63">
        <f>ROUND((E4-D4+1)/30,0)*INDEX(DB_Locations!H:H,MATCH(B4,DB_Locations!A:A,0))</f>
        <v>14820</v>
      </c>
      <c r="G4" s="15" t="s">
        <v>67</v>
      </c>
      <c r="H4" s="165">
        <f t="array" ref="H4">IF(C4=1,
    D4-VLOOKUP(B4,DB_Locations!A:D,4,FALSE),
    D4-INDEX(DB_Paiements!$E$2:$E$1000,MATCH(B4&amp;(C4-1),DB_Paiements!$B$2:$B$1000&amp;DB_Paiements!$C$2:$C$1000,0))
)</f>
        <v>0</v>
      </c>
      <c r="I4" s="111"/>
    </row>
    <row r="5" spans="1:10" ht="15.75" x14ac:dyDescent="0.25">
      <c r="A5" s="15" t="s">
        <v>158</v>
      </c>
      <c r="B5" s="15" t="s">
        <v>25</v>
      </c>
      <c r="C5" s="15">
        <v>2</v>
      </c>
      <c r="D5" s="62">
        <v>45712</v>
      </c>
      <c r="E5" s="62">
        <v>45800</v>
      </c>
      <c r="F5" s="63">
        <f>ROUND((E5-D5+1)/30,0)*INDEX(DB_Locations!H:H,MATCH(B5,DB_Locations!A:A,0))</f>
        <v>570</v>
      </c>
      <c r="G5" s="15" t="s">
        <v>67</v>
      </c>
      <c r="H5" s="165">
        <f t="array" ref="H5">IF(C5=1,
    D5-VLOOKUP(B5,DB_Locations!A:D,4,FALSE),
    D5-INDEX(DB_Paiements!$E$2:$E$1000,MATCH(B5&amp;(C5-1),DB_Paiements!$B$2:$B$1000&amp;DB_Paiements!$C$2:$C$1000,0))
)</f>
        <v>0</v>
      </c>
      <c r="I5" s="111"/>
    </row>
    <row r="6" spans="1:10" ht="15.75" x14ac:dyDescent="0.25">
      <c r="A6" s="15" t="s">
        <v>159</v>
      </c>
      <c r="B6" s="15" t="s">
        <v>27</v>
      </c>
      <c r="C6" s="15">
        <v>1</v>
      </c>
      <c r="D6" s="62">
        <v>43491</v>
      </c>
      <c r="E6" s="62">
        <v>45697</v>
      </c>
      <c r="F6" s="63">
        <f>ROUND((E6-D6+1)/30,0)*INDEX(DB_Locations!H:H,MATCH(B6,DB_Locations!A:A,0))</f>
        <v>31820</v>
      </c>
      <c r="G6" s="15" t="s">
        <v>67</v>
      </c>
      <c r="H6" s="165">
        <f t="array" ref="H6">IF(C6=1,
    D6-VLOOKUP(B6,DB_Locations!A:D,4,FALSE),
    D6-INDEX(DB_Paiements!$E$2:$E$1000,MATCH(B6&amp;(C6-1),DB_Paiements!$B$2:$B$1000&amp;DB_Paiements!$C$2:$C$1000,0))
)</f>
        <v>0</v>
      </c>
      <c r="I6" s="111"/>
    </row>
    <row r="7" spans="1:10" ht="15.75" x14ac:dyDescent="0.25">
      <c r="A7" s="15" t="s">
        <v>160</v>
      </c>
      <c r="B7" s="15" t="s">
        <v>27</v>
      </c>
      <c r="C7" s="15">
        <v>2</v>
      </c>
      <c r="D7" s="62">
        <v>45697</v>
      </c>
      <c r="E7" s="62">
        <v>45877</v>
      </c>
      <c r="F7" s="63">
        <f>ROUND((E7-D7+1)/30,0)*INDEX(DB_Locations!H:H,MATCH(B7,DB_Locations!A:A,0))</f>
        <v>2580</v>
      </c>
      <c r="G7" s="15" t="s">
        <v>67</v>
      </c>
      <c r="H7" s="165">
        <f t="array" ref="H7">IF(C7=1,
    D7-VLOOKUP(B7,DB_Locations!A:D,4,FALSE),
    D7-INDEX(DB_Paiements!$E$2:$E$1000,MATCH(B7&amp;(C7-1),DB_Paiements!$B$2:$B$1000&amp;DB_Paiements!$C$2:$C$1000,0))
)</f>
        <v>0</v>
      </c>
      <c r="I7" s="111"/>
    </row>
    <row r="8" spans="1:10" ht="15.75" x14ac:dyDescent="0.25">
      <c r="A8" s="15" t="s">
        <v>161</v>
      </c>
      <c r="B8" s="15" t="s">
        <v>1129</v>
      </c>
      <c r="C8" s="15">
        <v>1</v>
      </c>
      <c r="D8" s="62">
        <v>43516</v>
      </c>
      <c r="E8" s="62">
        <v>45786</v>
      </c>
      <c r="F8" s="63">
        <f>ROUND((E8-D8+1)/30,0)*INDEX(DB_Locations!H:H,MATCH(B8,DB_Locations!A:A,0))</f>
        <v>14440</v>
      </c>
      <c r="G8" s="15" t="s">
        <v>67</v>
      </c>
      <c r="H8" s="165">
        <f t="array" ref="H8">IF(C8=1,
    D8-VLOOKUP(B8,DB_Locations!A:D,4,FALSE),
    D8-INDEX(DB_Paiements!$E$2:$E$1000,MATCH(B8&amp;(C8-1),DB_Paiements!$B$2:$B$1000&amp;DB_Paiements!$C$2:$C$1000,0))
)</f>
        <v>0</v>
      </c>
      <c r="I8" s="111"/>
    </row>
    <row r="9" spans="1:10" ht="16.5" customHeight="1" x14ac:dyDescent="0.25">
      <c r="A9" s="15" t="s">
        <v>1089</v>
      </c>
      <c r="B9" s="15" t="s">
        <v>1087</v>
      </c>
      <c r="C9" s="15">
        <v>1</v>
      </c>
      <c r="D9" s="62">
        <v>45755</v>
      </c>
      <c r="E9" s="62">
        <v>45845</v>
      </c>
      <c r="F9" s="63">
        <f>ROUND((E9-D9+1)/30,0)*INDEX(DB_Locations!H:H,MATCH(B9,DB_Locations!A:A,0))</f>
        <v>570</v>
      </c>
      <c r="G9" s="15" t="s">
        <v>67</v>
      </c>
      <c r="H9" s="165">
        <f t="array" ref="H9">IF(C9=1,
    D9-VLOOKUP(B9,DB_Locations!A:D,4,FALSE),
    D9-INDEX(DB_Paiements!$E$2:$E$1000,MATCH(B9&amp;(C9-1),DB_Paiements!$B$2:$B$1000&amp;DB_Paiements!$C$2:$C$1000,0))
)</f>
        <v>11</v>
      </c>
      <c r="I9" s="111"/>
    </row>
    <row r="10" spans="1:10" ht="15.75" x14ac:dyDescent="0.25">
      <c r="A10" s="15" t="s">
        <v>1125</v>
      </c>
      <c r="B10" s="15" t="s">
        <v>1124</v>
      </c>
      <c r="C10" s="15">
        <v>1</v>
      </c>
      <c r="D10" s="62">
        <v>45755</v>
      </c>
      <c r="E10" s="62">
        <v>45845</v>
      </c>
      <c r="F10" s="63">
        <f>ROUND((E10-D10+1)/30,0)*INDEX(DB_Locations!H:H,MATCH(B10,DB_Locations!A:A,0))</f>
        <v>1290</v>
      </c>
      <c r="G10" s="15" t="s">
        <v>67</v>
      </c>
      <c r="H10" s="165">
        <f t="array" ref="H10">IF(C10=1,
    D10-VLOOKUP(B10,DB_Locations!A:D,4,FALSE),
    D10-INDEX(DB_Paiements!$E$2:$E$1000,MATCH(B10&amp;(C10-1),DB_Paiements!$B$2:$B$1000&amp;DB_Paiements!$C$2:$C$1000,0))
)</f>
        <v>29</v>
      </c>
      <c r="I10" s="111"/>
    </row>
    <row r="11" spans="1:10" ht="15.75" x14ac:dyDescent="0.25">
      <c r="A11" s="15" t="s">
        <v>1128</v>
      </c>
      <c r="B11" s="15" t="s">
        <v>1129</v>
      </c>
      <c r="C11" s="15">
        <v>2</v>
      </c>
      <c r="D11" s="62">
        <v>45786</v>
      </c>
      <c r="E11" s="62">
        <v>45877</v>
      </c>
      <c r="F11" s="63">
        <f>ROUND((E11-D11+1)/30,0)*INDEX(DB_Locations!H:H,MATCH(B11,DB_Locations!A:A,0))</f>
        <v>570</v>
      </c>
      <c r="G11" s="15" t="s">
        <v>947</v>
      </c>
      <c r="H11" s="165">
        <f t="array" ref="H11">IF(C11=1,
    D11-VLOOKUP(B11,DB_Locations!A:D,4,FALSE),
    D11-INDEX(DB_Paiements!$E$2:$E$1000,MATCH(B11&amp;(C11-1),DB_Paiements!$B$2:$B$1000&amp;DB_Paiements!$C$2:$C$1000,0))
)</f>
        <v>0</v>
      </c>
      <c r="I11" s="111"/>
    </row>
    <row r="12" spans="1:10" ht="15.75" x14ac:dyDescent="0.25">
      <c r="A12" s="15" t="s">
        <v>1136</v>
      </c>
      <c r="B12" s="15" t="s">
        <v>1135</v>
      </c>
      <c r="C12" s="15">
        <v>1</v>
      </c>
      <c r="D12" s="62">
        <v>43414</v>
      </c>
      <c r="E12" s="62">
        <v>45713</v>
      </c>
      <c r="F12" s="63">
        <f>ROUND((E12-D12+1)/30,0)*INDEX(DB_Locations!H:H,MATCH(B12,DB_Locations!A:A,0))</f>
        <v>33110</v>
      </c>
      <c r="G12" s="15" t="s">
        <v>67</v>
      </c>
      <c r="H12" s="165">
        <f t="array" ref="H12">IF(C12=1,
    D12-VLOOKUP(B12,DB_Locations!A:D,4,FALSE),
    D12-INDEX(DB_Paiements!$E$2:$E$1000,MATCH(B12&amp;(C12-1),DB_Paiements!$B$2:$B$1000&amp;DB_Paiements!$C$2:$C$1000,0))
)</f>
        <v>0</v>
      </c>
      <c r="I12" s="111"/>
    </row>
    <row r="13" spans="1:10" ht="15.75" x14ac:dyDescent="0.25">
      <c r="A13" s="15" t="s">
        <v>1137</v>
      </c>
      <c r="B13" s="15" t="s">
        <v>1135</v>
      </c>
      <c r="C13" s="15">
        <v>2</v>
      </c>
      <c r="D13" s="62">
        <v>45713</v>
      </c>
      <c r="E13" s="62">
        <v>45893</v>
      </c>
      <c r="F13" s="63">
        <f>ROUND((E13-D13+1)/30,0)*INDEX(DB_Locations!H:H,MATCH(B13,DB_Locations!A:A,0))</f>
        <v>2580</v>
      </c>
      <c r="G13" s="15" t="s">
        <v>67</v>
      </c>
      <c r="H13" s="165">
        <f t="array" ref="H13">IF(C13=1,
    D13-VLOOKUP(B13,DB_Locations!A:D,4,FALSE),
    D13-INDEX(DB_Paiements!$E$2:$E$1000,MATCH(B13&amp;(C13-1),DB_Paiements!$B$2:$B$1000&amp;DB_Paiements!$C$2:$C$1000,0))
)</f>
        <v>0</v>
      </c>
      <c r="I13" s="111"/>
    </row>
    <row r="14" spans="1:10" ht="15.75" x14ac:dyDescent="0.25">
      <c r="A14" s="15" t="s">
        <v>1139</v>
      </c>
      <c r="B14" s="15" t="s">
        <v>1138</v>
      </c>
      <c r="C14" s="15">
        <v>1</v>
      </c>
      <c r="D14" s="62">
        <v>43434</v>
      </c>
      <c r="E14" s="62">
        <v>45802</v>
      </c>
      <c r="F14" s="63">
        <f>ROUND((E14-D14+1)/30,0)*INDEX(DB_Locations!H:H,MATCH(B14,DB_Locations!A:A,0))</f>
        <v>15010</v>
      </c>
      <c r="G14" s="15" t="s">
        <v>67</v>
      </c>
      <c r="H14" s="165">
        <f t="array" ref="H14">IF(C14=1,
    D14-VLOOKUP(B14,DB_Locations!A:D,4,FALSE),
    D14-INDEX(DB_Paiements!$E$2:$E$1000,MATCH(B14&amp;(C14-1),DB_Paiements!$B$2:$B$1000&amp;DB_Paiements!$C$2:$C$1000,0))
)</f>
        <v>0</v>
      </c>
      <c r="I14" s="111"/>
    </row>
    <row r="15" spans="1:10" ht="15.75" x14ac:dyDescent="0.25">
      <c r="A15" s="15" t="s">
        <v>1140</v>
      </c>
      <c r="B15" s="15" t="s">
        <v>1138</v>
      </c>
      <c r="C15" s="15">
        <v>2</v>
      </c>
      <c r="D15" s="62">
        <v>45802</v>
      </c>
      <c r="E15" s="62">
        <v>45893</v>
      </c>
      <c r="F15" s="63">
        <f>ROUND((E15-D15+1)/30,0)*INDEX(DB_Locations!H:H,MATCH(B15,DB_Locations!A:A,0))</f>
        <v>570</v>
      </c>
      <c r="G15" s="15" t="s">
        <v>67</v>
      </c>
      <c r="H15" s="165">
        <f t="array" ref="H15">IF(C15=1,
    D15-VLOOKUP(B15,DB_Locations!A:D,4,FALSE),
    D15-INDEX(DB_Paiements!$E$2:$E$1000,MATCH(B15&amp;(C15-1),DB_Paiements!$B$2:$B$1000&amp;DB_Paiements!$C$2:$C$1000,0))
)</f>
        <v>0</v>
      </c>
      <c r="I15" s="111"/>
    </row>
    <row r="16" spans="1:10" s="169" customFormat="1" ht="15.75" x14ac:dyDescent="0.25">
      <c r="A16" s="15" t="s">
        <v>1143</v>
      </c>
      <c r="B16" s="15" t="s">
        <v>1142</v>
      </c>
      <c r="C16" s="15">
        <v>1</v>
      </c>
      <c r="D16" s="62">
        <f ca="1">TODAY()</f>
        <v>45895</v>
      </c>
      <c r="E16" s="62">
        <v>45892</v>
      </c>
      <c r="F16" s="170">
        <f ca="1">ROUND((E16-D16+1)/30,0)*INDEX(DB_Locations!H:H,MATCH(B16,DB_Locations!A:A,0))</f>
        <v>0</v>
      </c>
      <c r="G16" s="15" t="s">
        <v>67</v>
      </c>
      <c r="H16" s="171">
        <f t="array" aca="1" ref="H16" ca="1">IF(C16=1,
    D16-VLOOKUP(B16,DB_Locations!A:D,4,FALSE),
    D16-INDEX(DB_Paiements!$E$2:$E$1000,MATCH(B16&amp;(C16-1),DB_Paiements!$B$2:$B$1000&amp;DB_Paiements!$C$2:$C$1000,0))
)</f>
        <v>3</v>
      </c>
      <c r="I16" s="172"/>
    </row>
    <row r="17" spans="1:9" ht="15.75" x14ac:dyDescent="0.25">
      <c r="A17" s="15" t="s">
        <v>1145</v>
      </c>
      <c r="B17" s="15" t="s">
        <v>1531</v>
      </c>
      <c r="C17" s="15">
        <v>1</v>
      </c>
      <c r="D17" s="62">
        <f ca="1">TODAY()</f>
        <v>45895</v>
      </c>
      <c r="E17" s="62">
        <v>45891</v>
      </c>
      <c r="F17" s="63">
        <f ca="1">ROUND((E17-D17+1)/30,0)*INDEX(DB_Locations!H:H,MATCH(B17,DB_Locations!A:A,0))</f>
        <v>0</v>
      </c>
      <c r="G17" s="15" t="s">
        <v>67</v>
      </c>
      <c r="H17" s="165">
        <f t="array" aca="1" ref="H17" ca="1">IF(C17=1,
    D17-VLOOKUP(B17,DB_Locations!A:D,4,FALSE),
    D17-INDEX(DB_Paiements!$E$2:$E$1000,MATCH(B17&amp;(C17-1),DB_Paiements!$B$2:$B$1000&amp;DB_Paiements!$C$2:$C$1000,0))
)</f>
        <v>4</v>
      </c>
      <c r="I17" s="111"/>
    </row>
    <row r="18" spans="1:9" ht="15.75" x14ac:dyDescent="0.25">
      <c r="A18" s="15" t="s">
        <v>1233</v>
      </c>
      <c r="B18" s="15" t="s">
        <v>1228</v>
      </c>
      <c r="C18" s="15">
        <v>1</v>
      </c>
      <c r="D18" s="62">
        <v>43677</v>
      </c>
      <c r="E18" s="62">
        <v>45798</v>
      </c>
      <c r="F18" s="63">
        <f>ROUND((E18-D18+1)/30,0)*INDEX(DB_Locations!H:H,MATCH(B18,DB_Locations!A:A,0))</f>
        <v>13490</v>
      </c>
      <c r="G18" s="15" t="s">
        <v>67</v>
      </c>
      <c r="H18" s="165">
        <f t="array" ref="H18">IF(C18=1,
    D18-VLOOKUP(B18,DB_Locations!A:D,4,FALSE),
    D18-INDEX(DB_Paiements!$E$2:$E$1000,MATCH(B18&amp;(C18-1),DB_Paiements!$B$2:$B$1000&amp;DB_Paiements!$C$2:$C$1000,0))
)</f>
        <v>0</v>
      </c>
      <c r="I18" s="111"/>
    </row>
    <row r="19" spans="1:9" ht="15.75" x14ac:dyDescent="0.25">
      <c r="A19" s="15" t="s">
        <v>1234</v>
      </c>
      <c r="B19" s="15" t="s">
        <v>1228</v>
      </c>
      <c r="C19" s="15">
        <v>2</v>
      </c>
      <c r="D19" s="62">
        <v>45798</v>
      </c>
      <c r="E19" s="62">
        <v>45889</v>
      </c>
      <c r="F19" s="63">
        <f>ROUND((E19-D19+1)/30,0)*INDEX(DB_Locations!H:H,MATCH(B19,DB_Locations!A:A,0))</f>
        <v>570</v>
      </c>
      <c r="G19" s="15" t="s">
        <v>67</v>
      </c>
      <c r="H19" s="165">
        <f t="array" ref="H19">IF(C19=1,
    D19-VLOOKUP(B19,DB_Locations!A:D,4,FALSE),
    D19-INDEX(DB_Paiements!$E$2:$E$1000,MATCH(B19&amp;(C19-1),DB_Paiements!$B$2:$B$1000&amp;DB_Paiements!$C$2:$C$1000,0))
)</f>
        <v>0</v>
      </c>
      <c r="I19" s="111"/>
    </row>
    <row r="20" spans="1:9" ht="15.75" x14ac:dyDescent="0.25">
      <c r="A20" s="15" t="s">
        <v>1235</v>
      </c>
      <c r="B20" s="15" t="s">
        <v>1232</v>
      </c>
      <c r="C20" s="15">
        <v>1</v>
      </c>
      <c r="D20" s="62">
        <v>43677</v>
      </c>
      <c r="E20" s="62">
        <v>45838</v>
      </c>
      <c r="F20" s="63">
        <f>ROUND((E20-D20+1)/30,0)*INDEX(DB_Locations!H:H,MATCH(B20,DB_Locations!A:A,0))</f>
        <v>30960</v>
      </c>
      <c r="G20" s="15" t="s">
        <v>67</v>
      </c>
      <c r="H20" s="165">
        <f t="array" ref="H20">IF(C20=1,
    D20-VLOOKUP(B20,DB_Locations!A:D,4,FALSE),
    D20-INDEX(DB_Paiements!$E$2:$E$1000,MATCH(B20&amp;(C20-1),DB_Paiements!$B$2:$B$1000&amp;DB_Paiements!$C$2:$C$1000,0))
)</f>
        <v>0</v>
      </c>
      <c r="I20" s="111"/>
    </row>
    <row r="21" spans="1:9" ht="15.75" x14ac:dyDescent="0.25">
      <c r="A21" s="15" t="s">
        <v>1236</v>
      </c>
      <c r="B21" s="15" t="s">
        <v>1232</v>
      </c>
      <c r="C21" s="15">
        <v>2</v>
      </c>
      <c r="D21" s="62">
        <v>45838</v>
      </c>
      <c r="E21" s="62">
        <v>46020</v>
      </c>
      <c r="F21" s="63">
        <f>ROUND((E21-D21+1)/30,0)*INDEX(DB_Locations!H:H,MATCH(B21,DB_Locations!A:A,0))</f>
        <v>2580</v>
      </c>
      <c r="G21" s="15" t="s">
        <v>1237</v>
      </c>
      <c r="H21" s="64">
        <f t="array" ref="H21">IF(C21=1,
    D21-VLOOKUP(B21,DB_Locations!A:D,4,FALSE),
    D21-INDEX(DB_Paiements!$E$2:$E$1000,MATCH(B21&amp;(C21-1),DB_Paiements!$B$2:$B$1000&amp;DB_Paiements!$C$2:$C$1000,0))
)</f>
        <v>0</v>
      </c>
      <c r="I21" s="111"/>
    </row>
    <row r="22" spans="1:9" ht="15.75" x14ac:dyDescent="0.25">
      <c r="A22" s="15" t="s">
        <v>1243</v>
      </c>
      <c r="B22" s="15" t="s">
        <v>1242</v>
      </c>
      <c r="C22" s="15">
        <v>1</v>
      </c>
      <c r="D22" s="62">
        <v>44211</v>
      </c>
      <c r="E22" s="62">
        <v>45836</v>
      </c>
      <c r="F22" s="63">
        <f>ROUND((E22-D22+1)/30,0)*INDEX(DB_Locations!H:H,MATCH(B22,DB_Locations!A:A,0))</f>
        <v>10260</v>
      </c>
      <c r="G22" s="15" t="s">
        <v>67</v>
      </c>
      <c r="H22" s="64">
        <f t="array" ref="H22">IF(C22=1,
    D22-VLOOKUP(B22,DB_Locations!A:D,4,FALSE),
    D22-INDEX(DB_Paiements!$E$2:$E$1000,MATCH(B22&amp;(C22-1),DB_Paiements!$B$2:$B$1000&amp;DB_Paiements!$C$2:$C$1000,0))
)</f>
        <v>0</v>
      </c>
      <c r="I22" s="111"/>
    </row>
    <row r="23" spans="1:9" ht="15.75" x14ac:dyDescent="0.25">
      <c r="A23" s="15" t="s">
        <v>1244</v>
      </c>
      <c r="B23" s="15" t="s">
        <v>1242</v>
      </c>
      <c r="C23" s="15">
        <v>2</v>
      </c>
      <c r="D23" s="62">
        <v>45818</v>
      </c>
      <c r="E23" s="62">
        <v>45909</v>
      </c>
      <c r="F23" s="63">
        <f>ROUND((E23-D23+1)/30,0)*INDEX(DB_Locations!H:H,MATCH(B23,DB_Locations!A:A,0))</f>
        <v>570</v>
      </c>
      <c r="G23" s="15" t="s">
        <v>67</v>
      </c>
      <c r="H23" s="64">
        <f t="array" ref="H23">IF(C23=1,
    D23-VLOOKUP(B23,DB_Locations!A:D,4,FALSE),
    D23-INDEX(DB_Paiements!$E$2:$E$1000,MATCH(B23&amp;(C23-1),DB_Paiements!$B$2:$B$1000&amp;DB_Paiements!$C$2:$C$1000,0))
)</f>
        <v>-18</v>
      </c>
      <c r="I23" s="111"/>
    </row>
    <row r="24" spans="1:9" ht="15.75" x14ac:dyDescent="0.25">
      <c r="A24" s="15" t="s">
        <v>1246</v>
      </c>
      <c r="B24" s="15" t="s">
        <v>1245</v>
      </c>
      <c r="C24" s="15">
        <v>1</v>
      </c>
      <c r="D24" s="62">
        <v>44209</v>
      </c>
      <c r="E24" s="62">
        <v>45836</v>
      </c>
      <c r="F24" s="63">
        <f>ROUND((E24-D24+1)/30,0)*INDEX(DB_Locations!H:H,MATCH(B24,DB_Locations!A:A,0))</f>
        <v>23220</v>
      </c>
      <c r="G24" s="15" t="s">
        <v>67</v>
      </c>
      <c r="H24" s="64">
        <f t="array" ref="H24">IF(C24=1,
    D24-VLOOKUP(B24,DB_Locations!A:D,4,FALSE),
    D24-INDEX(DB_Paiements!$E$2:$E$1000,MATCH(B24&amp;(C24-1),DB_Paiements!$B$2:$B$1000&amp;DB_Paiements!$C$2:$C$1000,0))
)</f>
        <v>0</v>
      </c>
      <c r="I24" s="111"/>
    </row>
    <row r="25" spans="1:9" ht="15.75" x14ac:dyDescent="0.25">
      <c r="A25" s="15" t="s">
        <v>1247</v>
      </c>
      <c r="B25" s="15" t="s">
        <v>1245</v>
      </c>
      <c r="C25" s="15">
        <v>2</v>
      </c>
      <c r="D25" s="62">
        <v>45805</v>
      </c>
      <c r="E25" s="62">
        <v>45896</v>
      </c>
      <c r="F25" s="63">
        <f>ROUND((E25-D25+1)/30,0)*INDEX(DB_Locations!H:H,MATCH(B25,DB_Locations!A:A,0))</f>
        <v>1290</v>
      </c>
      <c r="G25" s="15" t="s">
        <v>67</v>
      </c>
      <c r="H25" s="64">
        <f t="array" ref="H25">IF(C25=1,
    D25-VLOOKUP(B25,DB_Locations!A:D,4,FALSE),
    D25-INDEX(DB_Paiements!$E$2:$E$1000,MATCH(B25&amp;(C25-1),DB_Paiements!$B$2:$B$1000&amp;DB_Paiements!$C$2:$C$1000,0))
)</f>
        <v>-31</v>
      </c>
      <c r="I25" s="111"/>
    </row>
    <row r="26" spans="1:9" ht="15.75" x14ac:dyDescent="0.25">
      <c r="A26" s="15" t="s">
        <v>1253</v>
      </c>
      <c r="B26" s="15" t="s">
        <v>1252</v>
      </c>
      <c r="C26" s="15">
        <v>1</v>
      </c>
      <c r="D26" s="62">
        <v>44217</v>
      </c>
      <c r="E26" s="62">
        <v>45794</v>
      </c>
      <c r="F26" s="63">
        <f>ROUND((E26-D26+1)/30,0)*INDEX(DB_Locations!H:H,MATCH(B26,DB_Locations!A:A,0))</f>
        <v>10070</v>
      </c>
      <c r="G26" s="15" t="s">
        <v>67</v>
      </c>
      <c r="H26" s="64">
        <f t="array" ref="H26">IF(C26=1,
    D26-VLOOKUP(B26,DB_Locations!A:D,4,FALSE),
    D26-INDEX(DB_Paiements!$E$2:$E$1000,MATCH(B26&amp;(C26-1),DB_Paiements!$B$2:$B$1000&amp;DB_Paiements!$C$2:$C$1000,0))
)</f>
        <v>0</v>
      </c>
      <c r="I26" s="111"/>
    </row>
    <row r="27" spans="1:9" ht="15.75" x14ac:dyDescent="0.25">
      <c r="A27" s="15" t="s">
        <v>1254</v>
      </c>
      <c r="B27" s="15" t="s">
        <v>1252</v>
      </c>
      <c r="C27" s="15">
        <v>2</v>
      </c>
      <c r="D27" s="62">
        <v>45794</v>
      </c>
      <c r="E27" s="62">
        <v>45885</v>
      </c>
      <c r="F27" s="63">
        <f>ROUND((E27-D27+1)/30,0)*INDEX(DB_Locations!H:H,MATCH(B27,DB_Locations!A:A,0))</f>
        <v>570</v>
      </c>
      <c r="G27" s="15" t="s">
        <v>67</v>
      </c>
      <c r="H27" s="64">
        <f t="array" ref="H27">IF(C27=1,
    D27-VLOOKUP(B27,DB_Locations!A:D,4,FALSE),
    D27-INDEX(DB_Paiements!$E$2:$E$1000,MATCH(B27&amp;(C27-1),DB_Paiements!$B$2:$B$1000&amp;DB_Paiements!$C$2:$C$1000,0))
)</f>
        <v>0</v>
      </c>
      <c r="I27" s="111"/>
    </row>
    <row r="28" spans="1:9" ht="15.75" x14ac:dyDescent="0.25">
      <c r="A28" s="15" t="s">
        <v>1256</v>
      </c>
      <c r="B28" s="15" t="s">
        <v>1255</v>
      </c>
      <c r="C28" s="15">
        <v>1</v>
      </c>
      <c r="D28" s="62">
        <v>44217</v>
      </c>
      <c r="E28" s="62">
        <v>45705</v>
      </c>
      <c r="F28" s="63">
        <f>ROUND((E28-D28+1)/30,0)*INDEX(DB_Locations!H:H,MATCH(B28,DB_Locations!A:A,0))</f>
        <v>21500</v>
      </c>
      <c r="G28" s="15" t="s">
        <v>67</v>
      </c>
      <c r="H28" s="64">
        <f t="array" ref="H28">IF(C28=1,
    D28-VLOOKUP(B28,DB_Locations!A:D,4,FALSE),
    D28-INDEX(DB_Paiements!$E$2:$E$1000,MATCH(B28&amp;(C28-1),DB_Paiements!$B$2:$B$1000&amp;DB_Paiements!$C$2:$C$1000,0))
)</f>
        <v>0</v>
      </c>
      <c r="I28" s="111"/>
    </row>
    <row r="29" spans="1:9" ht="15.75" x14ac:dyDescent="0.25">
      <c r="A29" s="15" t="s">
        <v>1257</v>
      </c>
      <c r="B29" s="15" t="s">
        <v>1255</v>
      </c>
      <c r="C29" s="15">
        <v>2</v>
      </c>
      <c r="D29" s="62">
        <v>45705</v>
      </c>
      <c r="E29" s="62">
        <v>45885</v>
      </c>
      <c r="F29" s="63">
        <f>ROUND((E29-D29+1)/30,0)*INDEX(DB_Locations!H:H,MATCH(B29,DB_Locations!A:A,0))</f>
        <v>2580</v>
      </c>
      <c r="G29" s="15" t="s">
        <v>67</v>
      </c>
      <c r="H29" s="64">
        <f t="array" ref="H29">IF(C29=1,
    D29-VLOOKUP(B29,DB_Locations!A:D,4,FALSE),
    D29-INDEX(DB_Paiements!$E$2:$E$1000,MATCH(B29&amp;(C29-1),DB_Paiements!$B$2:$B$1000&amp;DB_Paiements!$C$2:$C$1000,0))
)</f>
        <v>0</v>
      </c>
      <c r="I29" s="111"/>
    </row>
    <row r="30" spans="1:9" ht="15.75" x14ac:dyDescent="0.25">
      <c r="A30" s="15" t="s">
        <v>1258</v>
      </c>
      <c r="B30" s="15" t="s">
        <v>1285</v>
      </c>
      <c r="C30" s="15">
        <v>1</v>
      </c>
      <c r="D30" s="62">
        <v>44469</v>
      </c>
      <c r="E30" s="62">
        <v>45806</v>
      </c>
      <c r="F30" s="63">
        <f>ROUND((E30-D30+1)/30,0)*INDEX(DB_Locations!H:H,MATCH(B30,DB_Locations!A:A,0))</f>
        <v>8550</v>
      </c>
      <c r="G30" s="15" t="s">
        <v>67</v>
      </c>
      <c r="H30" s="64">
        <f t="array" ref="H30">IF(C30=1,
    D30-VLOOKUP(B30,DB_Locations!A:D,4,FALSE),
    D30-INDEX(DB_Paiements!$E$2:$E$1000,MATCH(B30&amp;(C30-1),DB_Paiements!$B$2:$B$1000&amp;DB_Paiements!$C$2:$C$1000,0))
)</f>
        <v>0</v>
      </c>
      <c r="I30" s="111"/>
    </row>
    <row r="31" spans="1:9" ht="15.75" x14ac:dyDescent="0.25">
      <c r="A31" s="15" t="s">
        <v>1259</v>
      </c>
      <c r="B31" s="15" t="s">
        <v>1285</v>
      </c>
      <c r="C31" s="15">
        <v>2</v>
      </c>
      <c r="D31" s="62">
        <v>45806</v>
      </c>
      <c r="E31" s="62">
        <v>45897</v>
      </c>
      <c r="F31" s="63">
        <f>ROUND((E31-D31+1)/30,0)*INDEX(DB_Locations!H:H,MATCH(B31,DB_Locations!A:A,0))</f>
        <v>570</v>
      </c>
      <c r="G31" s="15" t="s">
        <v>67</v>
      </c>
      <c r="H31" s="64">
        <f t="array" ref="H31">IF(C31=1,
    D31-VLOOKUP(B31,DB_Locations!A:D,4,FALSE),
    D31-INDEX(DB_Paiements!$E$2:$E$1000,MATCH(B31&amp;(C31-1),DB_Paiements!$B$2:$B$1000&amp;DB_Paiements!$C$2:$C$1000,0))
)</f>
        <v>0</v>
      </c>
      <c r="I31" s="111"/>
    </row>
    <row r="32" spans="1:9" ht="15.75" x14ac:dyDescent="0.25">
      <c r="A32" s="15" t="s">
        <v>1260</v>
      </c>
      <c r="B32" s="15" t="s">
        <v>1286</v>
      </c>
      <c r="C32" s="15">
        <v>1</v>
      </c>
      <c r="D32" s="62">
        <v>43874</v>
      </c>
      <c r="E32" s="62">
        <v>45789</v>
      </c>
      <c r="F32" s="63">
        <f>ROUND((E32-D32+1)/30,0)*INDEX(DB_Locations!H:H,MATCH(B32,DB_Locations!A:A,0))</f>
        <v>27520</v>
      </c>
      <c r="G32" s="15" t="s">
        <v>67</v>
      </c>
      <c r="H32" s="64">
        <f t="array" ref="H32">IF(C32=1,
    D32-VLOOKUP(B32,DB_Locations!A:D,4,FALSE),
    D32-INDEX(DB_Paiements!$E$2:$E$1000,MATCH(B32&amp;(C32-1),DB_Paiements!$B$2:$B$1000&amp;DB_Paiements!$C$2:$C$1000,0))
)</f>
        <v>0</v>
      </c>
      <c r="I32" s="111"/>
    </row>
    <row r="33" spans="1:9" ht="15.75" x14ac:dyDescent="0.25">
      <c r="A33" s="15" t="s">
        <v>1261</v>
      </c>
      <c r="B33" s="15" t="s">
        <v>1286</v>
      </c>
      <c r="C33" s="15">
        <v>2</v>
      </c>
      <c r="D33" s="62">
        <v>45789</v>
      </c>
      <c r="E33" s="62">
        <v>45972</v>
      </c>
      <c r="F33" s="63">
        <f>ROUND((E33-D33+1)/30,0)*INDEX(DB_Locations!H:H,MATCH(B33,DB_Locations!A:A,0))</f>
        <v>2580</v>
      </c>
      <c r="G33" s="15" t="s">
        <v>67</v>
      </c>
      <c r="H33" s="64">
        <f t="array" ref="H33">IF(C33=1,
    D33-VLOOKUP(B33,DB_Locations!A:D,4,FALSE),
    D33-INDEX(DB_Paiements!$E$2:$E$1000,MATCH(B33&amp;(C33-1),DB_Paiements!$B$2:$B$1000&amp;DB_Paiements!$C$2:$C$1000,0))
)</f>
        <v>0</v>
      </c>
      <c r="I33" s="111"/>
    </row>
    <row r="34" spans="1:9" ht="15.75" x14ac:dyDescent="0.25">
      <c r="A34" s="15" t="s">
        <v>1262</v>
      </c>
      <c r="B34" s="15" t="s">
        <v>1292</v>
      </c>
      <c r="C34" s="15">
        <v>1</v>
      </c>
      <c r="D34" s="62">
        <v>44534</v>
      </c>
      <c r="E34" s="62">
        <v>45708</v>
      </c>
      <c r="F34" s="63">
        <f>ROUND((E34-D34+1)/30,0)*INDEX(DB_Locations!H:H,MATCH(B34,DB_Locations!A:A,0))</f>
        <v>7410</v>
      </c>
      <c r="G34" s="15" t="s">
        <v>67</v>
      </c>
      <c r="H34" s="64">
        <f t="array" ref="H34">IF(C34=1,
    D34-VLOOKUP(B34,DB_Locations!A:D,4,FALSE),
    D34-INDEX(DB_Paiements!$E$2:$E$1000,MATCH(B34&amp;(C34-1),DB_Paiements!$B$2:$B$1000&amp;DB_Paiements!$C$2:$C$1000,0))
)</f>
        <v>0</v>
      </c>
      <c r="I34" s="111"/>
    </row>
    <row r="35" spans="1:9" ht="15.75" x14ac:dyDescent="0.25">
      <c r="A35" s="15" t="s">
        <v>1263</v>
      </c>
      <c r="B35" s="15" t="s">
        <v>1292</v>
      </c>
      <c r="C35" s="15">
        <v>2</v>
      </c>
      <c r="D35" s="62">
        <v>45708</v>
      </c>
      <c r="E35" s="62">
        <v>45796</v>
      </c>
      <c r="F35" s="63">
        <f>ROUND((E35-D35+1)/30,0)*INDEX(DB_Locations!H:H,MATCH(B35,DB_Locations!A:A,0))</f>
        <v>570</v>
      </c>
      <c r="G35" s="15" t="s">
        <v>67</v>
      </c>
      <c r="H35" s="64">
        <f t="array" ref="H35">IF(C35=1,
    D35-VLOOKUP(B35,DB_Locations!A:D,4,FALSE),
    D35-INDEX(DB_Paiements!$E$2:$E$1000,MATCH(B35&amp;(C35-1),DB_Paiements!$B$2:$B$1000&amp;DB_Paiements!$C$2:$C$1000,0))
)</f>
        <v>0</v>
      </c>
      <c r="I35" s="111"/>
    </row>
    <row r="36" spans="1:9" ht="15.75" x14ac:dyDescent="0.25">
      <c r="A36" s="15" t="s">
        <v>1264</v>
      </c>
      <c r="B36" s="15" t="s">
        <v>1293</v>
      </c>
      <c r="C36" s="15">
        <v>1</v>
      </c>
      <c r="D36" s="62">
        <v>43484</v>
      </c>
      <c r="E36" s="62">
        <v>45677</v>
      </c>
      <c r="F36" s="63">
        <f>ROUND((E36-D36+1)/30,0)*INDEX(DB_Locations!H:H,MATCH(B36,DB_Locations!A:A,0))</f>
        <v>31390</v>
      </c>
      <c r="G36" s="15" t="s">
        <v>67</v>
      </c>
      <c r="H36" s="64">
        <f t="array" ref="H36">IF(C36=1,
    D36-VLOOKUP(B36,DB_Locations!A:D,4,FALSE),
    D36-INDEX(DB_Paiements!$E$2:$E$1000,MATCH(B36&amp;(C36-1),DB_Paiements!$B$2:$B$1000&amp;DB_Paiements!$C$2:$C$1000,0))
)</f>
        <v>0</v>
      </c>
      <c r="I36" s="111"/>
    </row>
    <row r="37" spans="1:9" ht="15.75" x14ac:dyDescent="0.25">
      <c r="A37" s="15" t="s">
        <v>1265</v>
      </c>
      <c r="B37" s="15" t="s">
        <v>1293</v>
      </c>
      <c r="C37" s="15">
        <v>2</v>
      </c>
      <c r="D37" s="62">
        <v>45677</v>
      </c>
      <c r="E37" s="62">
        <v>45857</v>
      </c>
      <c r="F37" s="63">
        <f>ROUND((E37-D37+1)/30,0)*INDEX(DB_Locations!H:H,MATCH(B37,DB_Locations!A:A,0))</f>
        <v>2580</v>
      </c>
      <c r="G37" s="15" t="s">
        <v>67</v>
      </c>
      <c r="H37" s="64">
        <f t="array" ref="H37">IF(C37=1,
    D37-VLOOKUP(B37,DB_Locations!A:D,4,FALSE),
    D37-INDEX(DB_Paiements!$E$2:$E$1000,MATCH(B37&amp;(C37-1),DB_Paiements!$B$2:$B$1000&amp;DB_Paiements!$C$2:$C$1000,0))
)</f>
        <v>0</v>
      </c>
      <c r="I37" s="111"/>
    </row>
    <row r="38" spans="1:9" ht="15.75" x14ac:dyDescent="0.25">
      <c r="A38" s="15" t="s">
        <v>1266</v>
      </c>
      <c r="B38" s="15" t="s">
        <v>1297</v>
      </c>
      <c r="C38" s="15">
        <v>1</v>
      </c>
      <c r="D38" s="62">
        <v>44727</v>
      </c>
      <c r="E38" s="62">
        <v>45728</v>
      </c>
      <c r="F38" s="63">
        <f>ROUND((E38-D38+1)/30,0)*INDEX(DB_Locations!H:H,MATCH(B38,DB_Locations!A:A,0))</f>
        <v>6270</v>
      </c>
      <c r="G38" s="15" t="s">
        <v>67</v>
      </c>
      <c r="H38" s="64">
        <f t="array" ref="H38">IF(C38=1,
    D38-VLOOKUP(B38,DB_Locations!A:D,4,FALSE),
    D38-INDEX(DB_Paiements!$E$2:$E$1000,MATCH(B38&amp;(C38-1),DB_Paiements!$B$2:$B$1000&amp;DB_Paiements!$C$2:$C$1000,0))
)</f>
        <v>0</v>
      </c>
      <c r="I38" s="111"/>
    </row>
    <row r="39" spans="1:9" ht="15.75" x14ac:dyDescent="0.25">
      <c r="A39" s="15" t="s">
        <v>1267</v>
      </c>
      <c r="B39" s="15" t="s">
        <v>1297</v>
      </c>
      <c r="C39" s="15">
        <v>2</v>
      </c>
      <c r="D39" s="62">
        <v>45728</v>
      </c>
      <c r="E39" s="62">
        <v>45819</v>
      </c>
      <c r="F39" s="63">
        <f>ROUND((E39-D39+1)/30,0)*INDEX(DB_Locations!H:H,MATCH(B39,DB_Locations!A:A,0))</f>
        <v>570</v>
      </c>
      <c r="G39" s="15" t="s">
        <v>67</v>
      </c>
      <c r="H39" s="64">
        <f t="array" ref="H39">IF(C39=1,
    D39-VLOOKUP(B39,DB_Locations!A:D,4,FALSE),
    D39-INDEX(DB_Paiements!$E$2:$E$1000,MATCH(B39&amp;(C39-1),DB_Paiements!$B$2:$B$1000&amp;DB_Paiements!$C$2:$C$1000,0))
)</f>
        <v>0</v>
      </c>
      <c r="I39" s="111"/>
    </row>
    <row r="40" spans="1:9" ht="15.75" x14ac:dyDescent="0.25">
      <c r="A40" s="15" t="s">
        <v>1268</v>
      </c>
      <c r="B40" s="15" t="s">
        <v>1303</v>
      </c>
      <c r="C40" s="15">
        <v>1</v>
      </c>
      <c r="D40" s="62">
        <v>44764</v>
      </c>
      <c r="E40" s="62">
        <v>45832</v>
      </c>
      <c r="F40" s="63">
        <f>ROUND((E40-D40+1)/30,0)*INDEX(DB_Locations!H:H,MATCH(B40,DB_Locations!A:A,0))</f>
        <v>6840</v>
      </c>
      <c r="G40" s="15" t="s">
        <v>67</v>
      </c>
      <c r="H40" s="64">
        <f t="array" ref="H40">IF(C40=1,
    D40-VLOOKUP(B40,DB_Locations!A:D,4,FALSE),
    D40-INDEX(DB_Paiements!$E$2:$E$1000,MATCH(B40&amp;(C40-1),DB_Paiements!$B$2:$B$1000&amp;DB_Paiements!$C$2:$C$1000,0))
)</f>
        <v>0</v>
      </c>
      <c r="I40" s="111"/>
    </row>
    <row r="41" spans="1:9" ht="15.75" x14ac:dyDescent="0.25">
      <c r="A41" s="15" t="s">
        <v>1269</v>
      </c>
      <c r="B41" s="15" t="s">
        <v>1303</v>
      </c>
      <c r="C41" s="15">
        <v>2</v>
      </c>
      <c r="D41" s="62">
        <v>45832</v>
      </c>
      <c r="E41" s="62">
        <v>45923</v>
      </c>
      <c r="F41" s="63">
        <f>ROUND((E41-D41+1)/30,0)*INDEX(DB_Locations!H:H,MATCH(B41,DB_Locations!A:A,0))</f>
        <v>570</v>
      </c>
      <c r="G41" s="15" t="s">
        <v>67</v>
      </c>
      <c r="H41" s="64">
        <f t="array" ref="H41">IF(C41=1,
    D41-VLOOKUP(B41,DB_Locations!A:D,4,FALSE),
    D41-INDEX(DB_Paiements!$E$2:$E$1000,MATCH(B41&amp;(C41-1),DB_Paiements!$B$2:$B$1000&amp;DB_Paiements!$C$2:$C$1000,0))
)</f>
        <v>0</v>
      </c>
      <c r="I41" s="111"/>
    </row>
    <row r="42" spans="1:9" ht="15.75" x14ac:dyDescent="0.25">
      <c r="A42" s="15" t="s">
        <v>1270</v>
      </c>
      <c r="B42" s="15" t="s">
        <v>1304</v>
      </c>
      <c r="C42" s="15">
        <v>1</v>
      </c>
      <c r="D42" s="62">
        <v>44764</v>
      </c>
      <c r="E42" s="62">
        <v>45740</v>
      </c>
      <c r="F42" s="63">
        <f>ROUND((E42-D42+1)/30,0)*INDEX(DB_Locations!H:H,MATCH(B42,DB_Locations!A:A,0))</f>
        <v>14190</v>
      </c>
      <c r="G42" s="15" t="s">
        <v>67</v>
      </c>
      <c r="H42" s="64">
        <f t="array" ref="H42">IF(C42=1,
    D42-VLOOKUP(B42,DB_Locations!A:D,4,FALSE),
    D42-INDEX(DB_Paiements!$E$2:$E$1000,MATCH(B42&amp;(C42-1),DB_Paiements!$B$2:$B$1000&amp;DB_Paiements!$C$2:$C$1000,0))
)</f>
        <v>0</v>
      </c>
      <c r="I42" s="111"/>
    </row>
    <row r="43" spans="1:9" ht="15.75" x14ac:dyDescent="0.25">
      <c r="A43" s="15" t="s">
        <v>1271</v>
      </c>
      <c r="B43" s="15" t="s">
        <v>1304</v>
      </c>
      <c r="C43" s="15">
        <v>2</v>
      </c>
      <c r="D43" s="62">
        <v>45740</v>
      </c>
      <c r="E43" s="62">
        <v>45923</v>
      </c>
      <c r="F43" s="63">
        <f>ROUND((E43-D43+1)/30,0)*INDEX(DB_Locations!H:H,MATCH(B43,DB_Locations!A:A,0))</f>
        <v>2580</v>
      </c>
      <c r="G43" s="15" t="s">
        <v>67</v>
      </c>
      <c r="H43" s="64">
        <f t="array" ref="H43">IF(C43=1,
    D43-VLOOKUP(B43,DB_Locations!A:D,4,FALSE),
    D43-INDEX(DB_Paiements!$E$2:$E$1000,MATCH(B43&amp;(C43-1),DB_Paiements!$B$2:$B$1000&amp;DB_Paiements!$C$2:$C$1000,0))
)</f>
        <v>0</v>
      </c>
      <c r="I43" s="111"/>
    </row>
    <row r="44" spans="1:9" ht="15.75" x14ac:dyDescent="0.25">
      <c r="A44" s="15" t="s">
        <v>1272</v>
      </c>
      <c r="B44" s="15" t="s">
        <v>1324</v>
      </c>
      <c r="C44" s="15">
        <v>1</v>
      </c>
      <c r="D44" s="62">
        <v>44769</v>
      </c>
      <c r="E44" s="62">
        <v>45788</v>
      </c>
      <c r="F44" s="63">
        <f>ROUND((E44-D44+1)/30,0)*INDEX(DB_Locations!H:H,MATCH(B44,DB_Locations!A:A,0))</f>
        <v>6460</v>
      </c>
      <c r="G44" s="15" t="s">
        <v>67</v>
      </c>
      <c r="H44" s="64">
        <f t="array" ref="H44">IF(C44=1,
    D44-VLOOKUP(B44,DB_Locations!A:D,4,FALSE),
    D44-INDEX(DB_Paiements!$E$2:$E$1000,MATCH(B44&amp;(C44-1),DB_Paiements!$B$2:$B$1000&amp;DB_Paiements!$C$2:$C$1000,0))
)</f>
        <v>0</v>
      </c>
      <c r="I44" s="111"/>
    </row>
    <row r="45" spans="1:9" ht="15.75" x14ac:dyDescent="0.25">
      <c r="A45" s="15" t="s">
        <v>1273</v>
      </c>
      <c r="B45" s="15" t="s">
        <v>1324</v>
      </c>
      <c r="C45" s="15">
        <v>2</v>
      </c>
      <c r="D45" s="62">
        <v>45788</v>
      </c>
      <c r="E45" s="62">
        <v>45879</v>
      </c>
      <c r="F45" s="63">
        <f>ROUND((E45-D45+1)/30,0)*INDEX(DB_Locations!H:H,MATCH(B45,DB_Locations!A:A,0))</f>
        <v>570</v>
      </c>
      <c r="G45" s="15" t="s">
        <v>67</v>
      </c>
      <c r="H45" s="64">
        <f t="array" ref="H45">IF(C45=1,
    D45-VLOOKUP(B45,DB_Locations!A:D,4,FALSE),
    D45-INDEX(DB_Paiements!$E$2:$E$1000,MATCH(B45&amp;(C45-1),DB_Paiements!$B$2:$B$1000&amp;DB_Paiements!$C$2:$C$1000,0))
)</f>
        <v>0</v>
      </c>
      <c r="I45" s="111"/>
    </row>
    <row r="46" spans="1:9" ht="15.75" x14ac:dyDescent="0.25">
      <c r="A46" s="15" t="s">
        <v>1274</v>
      </c>
      <c r="B46" s="15" t="s">
        <v>1327</v>
      </c>
      <c r="C46" s="15">
        <v>1</v>
      </c>
      <c r="D46" s="62">
        <v>45057</v>
      </c>
      <c r="E46" s="62">
        <v>45737</v>
      </c>
      <c r="F46" s="63">
        <f>ROUND((E46-D46+1)/30,0)*INDEX(DB_Locations!H:H,MATCH(B46,DB_Locations!A:A,0))</f>
        <v>4370</v>
      </c>
      <c r="G46" s="15" t="s">
        <v>67</v>
      </c>
      <c r="H46" s="64">
        <f t="array" ref="H46">IF(C46=1,
    D46-VLOOKUP(B46,DB_Locations!A:D,4,FALSE),
    D46-INDEX(DB_Paiements!$E$2:$E$1000,MATCH(B46&amp;(C46-1),DB_Paiements!$B$2:$B$1000&amp;DB_Paiements!$C$2:$C$1000,0))
)</f>
        <v>0</v>
      </c>
      <c r="I46" s="111"/>
    </row>
    <row r="47" spans="1:9" ht="15.75" x14ac:dyDescent="0.25">
      <c r="A47" s="15" t="s">
        <v>1275</v>
      </c>
      <c r="B47" s="15" t="s">
        <v>1327</v>
      </c>
      <c r="C47" s="15">
        <v>2</v>
      </c>
      <c r="D47" s="62">
        <v>45737</v>
      </c>
      <c r="E47" s="62">
        <v>45828</v>
      </c>
      <c r="F47" s="63">
        <f>ROUND((E47-D47+1)/30,0)*INDEX(DB_Locations!H:H,MATCH(B47,DB_Locations!A:A,0))</f>
        <v>570</v>
      </c>
      <c r="G47" s="15" t="s">
        <v>67</v>
      </c>
      <c r="H47" s="64">
        <f t="array" ref="H47">IF(C47=1,
    D47-VLOOKUP(B47,DB_Locations!A:D,4,FALSE),
    D47-INDEX(DB_Paiements!$E$2:$E$1000,MATCH(B47&amp;(C47-1),DB_Paiements!$B$2:$B$1000&amp;DB_Paiements!$C$2:$C$1000,0))
)</f>
        <v>0</v>
      </c>
      <c r="I47" s="111"/>
    </row>
    <row r="48" spans="1:9" ht="15.75" x14ac:dyDescent="0.25">
      <c r="A48" s="15" t="s">
        <v>1276</v>
      </c>
      <c r="B48" s="15" t="s">
        <v>1328</v>
      </c>
      <c r="C48" s="15">
        <v>1</v>
      </c>
      <c r="D48" s="62">
        <v>45057</v>
      </c>
      <c r="E48" s="62">
        <v>45647</v>
      </c>
      <c r="F48" s="63">
        <f>ROUND((E48-D48+1)/30,0)*INDEX(DB_Locations!H:H,MATCH(B48,DB_Locations!A:A,0))</f>
        <v>8600</v>
      </c>
      <c r="G48" s="15" t="s">
        <v>67</v>
      </c>
      <c r="H48" s="64">
        <f t="array" ref="H48">IF(C48=1,
    D48-VLOOKUP(B48,DB_Locations!A:D,4,FALSE),
    D48-INDEX(DB_Paiements!$E$2:$E$1000,MATCH(B48&amp;(C48-1),DB_Paiements!$B$2:$B$1000&amp;DB_Paiements!$C$2:$C$1000,0))
)</f>
        <v>0</v>
      </c>
      <c r="I48" s="111"/>
    </row>
    <row r="49" spans="1:9" ht="15.75" x14ac:dyDescent="0.25">
      <c r="A49" s="15" t="s">
        <v>1277</v>
      </c>
      <c r="B49" s="15" t="s">
        <v>1328</v>
      </c>
      <c r="C49" s="15">
        <v>2</v>
      </c>
      <c r="D49" s="62">
        <v>45647</v>
      </c>
      <c r="E49" s="62">
        <v>45828</v>
      </c>
      <c r="F49" s="63">
        <f>ROUND((E49-D49+1)/30,0)*INDEX(DB_Locations!H:H,MATCH(B49,DB_Locations!A:A,0))</f>
        <v>2580</v>
      </c>
      <c r="G49" s="15" t="s">
        <v>67</v>
      </c>
      <c r="H49" s="64">
        <f t="array" ref="H49">IF(C49=1,
    D49-VLOOKUP(B49,DB_Locations!A:D,4,FALSE),
    D49-INDEX(DB_Paiements!$E$2:$E$1000,MATCH(B49&amp;(C49-1),DB_Paiements!$B$2:$B$1000&amp;DB_Paiements!$C$2:$C$1000,0))
)</f>
        <v>0</v>
      </c>
      <c r="I49" s="111"/>
    </row>
    <row r="50" spans="1:9" ht="15.75" x14ac:dyDescent="0.25">
      <c r="A50" s="15" t="s">
        <v>1278</v>
      </c>
      <c r="B50" s="15" t="s">
        <v>1333</v>
      </c>
      <c r="C50" s="15">
        <v>1</v>
      </c>
      <c r="D50" s="62">
        <v>45063</v>
      </c>
      <c r="E50" s="62">
        <v>45800</v>
      </c>
      <c r="F50" s="63">
        <f>ROUND((E50-D50+1)/30,0)*INDEX(DB_Locations!H:H,MATCH(B50,DB_Locations!A:A,0))</f>
        <v>4750</v>
      </c>
      <c r="G50" s="15" t="s">
        <v>67</v>
      </c>
      <c r="H50" s="64">
        <f t="array" ref="H50">IF(C50=1,
    D50-VLOOKUP(B50,DB_Locations!A:D,4,FALSE),
    D50-INDEX(DB_Paiements!$E$2:$E$1000,MATCH(B50&amp;(C50-1),DB_Paiements!$B$2:$B$1000&amp;DB_Paiements!$C$2:$C$1000,0))
)</f>
        <v>0</v>
      </c>
      <c r="I50" s="111"/>
    </row>
    <row r="51" spans="1:9" ht="15.75" x14ac:dyDescent="0.25">
      <c r="A51" s="15" t="s">
        <v>1335</v>
      </c>
      <c r="B51" s="15" t="s">
        <v>1333</v>
      </c>
      <c r="C51" s="15">
        <v>2</v>
      </c>
      <c r="D51" s="62">
        <v>45800</v>
      </c>
      <c r="E51" s="62">
        <v>45891</v>
      </c>
      <c r="F51" s="63">
        <f>ROUND((E51-D51+1)/30,0)*INDEX(DB_Locations!H:H,MATCH(B51,DB_Locations!A:A,0))</f>
        <v>570</v>
      </c>
      <c r="G51" s="15" t="s">
        <v>67</v>
      </c>
      <c r="H51" s="64">
        <f t="array" ref="H51">IF(C51=1,
    D51-VLOOKUP(B51,DB_Locations!A:D,4,FALSE),
    D51-INDEX(DB_Paiements!$E$2:$E$1000,MATCH(B51&amp;(C51-1),DB_Paiements!$B$2:$B$1000&amp;DB_Paiements!$C$2:$C$1000,0))
)</f>
        <v>0</v>
      </c>
      <c r="I51" s="111"/>
    </row>
    <row r="52" spans="1:9" ht="15.75" x14ac:dyDescent="0.25">
      <c r="A52" s="15" t="s">
        <v>1336</v>
      </c>
      <c r="B52" s="15" t="s">
        <v>1334</v>
      </c>
      <c r="C52" s="15">
        <v>1</v>
      </c>
      <c r="D52" s="62">
        <v>45077</v>
      </c>
      <c r="E52" s="62">
        <v>45800</v>
      </c>
      <c r="F52" s="63">
        <f>ROUND((E52-D52+1)/30,0)*INDEX(DB_Locations!H:H,MATCH(B52,DB_Locations!A:A,0))</f>
        <v>10320</v>
      </c>
      <c r="G52" s="15" t="s">
        <v>67</v>
      </c>
      <c r="H52" s="64">
        <f t="array" ref="H52">IF(C52=1,
    D52-VLOOKUP(B52,DB_Locations!A:D,4,FALSE),
    D52-INDEX(DB_Paiements!$E$2:$E$1000,MATCH(B52&amp;(C52-1),DB_Paiements!$B$2:$B$1000&amp;DB_Paiements!$C$2:$C$1000,0))
)</f>
        <v>0</v>
      </c>
      <c r="I52" s="111"/>
    </row>
    <row r="53" spans="1:9" ht="15.75" x14ac:dyDescent="0.25">
      <c r="A53" s="15" t="s">
        <v>1337</v>
      </c>
      <c r="B53" s="15" t="s">
        <v>1334</v>
      </c>
      <c r="C53" s="15">
        <v>2</v>
      </c>
      <c r="D53" s="62">
        <v>45800</v>
      </c>
      <c r="E53" s="62">
        <v>45983</v>
      </c>
      <c r="F53" s="63">
        <f>ROUND((E53-D53+1)/30,0)*INDEX(DB_Locations!H:H,MATCH(B53,DB_Locations!A:A,0))</f>
        <v>2580</v>
      </c>
      <c r="G53" s="15" t="s">
        <v>67</v>
      </c>
      <c r="H53" s="64">
        <f t="array" ref="H53">IF(C53=1,
    D53-VLOOKUP(B53,DB_Locations!A:D,4,FALSE),
    D53-INDEX(DB_Paiements!$E$2:$E$1000,MATCH(B53&amp;(C53-1),DB_Paiements!$B$2:$B$1000&amp;DB_Paiements!$C$2:$C$1000,0))
)</f>
        <v>0</v>
      </c>
      <c r="I53" s="111"/>
    </row>
    <row r="54" spans="1:9" ht="15.75" x14ac:dyDescent="0.25">
      <c r="A54" s="15" t="s">
        <v>1338</v>
      </c>
      <c r="B54" s="15" t="s">
        <v>1401</v>
      </c>
      <c r="C54" s="15">
        <v>1</v>
      </c>
      <c r="D54" s="62">
        <v>45084</v>
      </c>
      <c r="E54" s="62">
        <v>45724</v>
      </c>
      <c r="F54" s="63">
        <f>ROUND((E54-D54+1)/30,0)*INDEX(DB_Locations!H:H,MATCH(B54,DB_Locations!A:A,0))</f>
        <v>3990</v>
      </c>
      <c r="G54" s="15" t="s">
        <v>67</v>
      </c>
      <c r="H54" s="64">
        <f t="array" ref="H54">IF(C54=1,
    D54-VLOOKUP(B54,DB_Locations!A:D,4,FALSE),
    D54-INDEX(DB_Paiements!$E$2:$E$1000,MATCH(B54&amp;(C54-1),DB_Paiements!$B$2:$B$1000&amp;DB_Paiements!$C$2:$C$1000,0))
)</f>
        <v>0</v>
      </c>
      <c r="I54" s="111"/>
    </row>
    <row r="55" spans="1:9" ht="15.75" x14ac:dyDescent="0.25">
      <c r="A55" s="15" t="s">
        <v>1339</v>
      </c>
      <c r="B55" s="15" t="s">
        <v>1401</v>
      </c>
      <c r="C55" s="15">
        <v>2</v>
      </c>
      <c r="D55" s="62">
        <v>45724</v>
      </c>
      <c r="E55" s="62">
        <v>45815</v>
      </c>
      <c r="F55" s="63">
        <f>ROUND((E55-D55+1)/30,0)*INDEX(DB_Locations!H:H,MATCH(B55,DB_Locations!A:A,0))</f>
        <v>570</v>
      </c>
      <c r="G55" s="15" t="s">
        <v>67</v>
      </c>
      <c r="H55" s="64">
        <f t="array" ref="H55">IF(C55=1,
    D55-VLOOKUP(B55,DB_Locations!A:D,4,FALSE),
    D55-INDEX(DB_Paiements!$E$2:$E$1000,MATCH(B55&amp;(C55-1),DB_Paiements!$B$2:$B$1000&amp;DB_Paiements!$C$2:$C$1000,0))
)</f>
        <v>0</v>
      </c>
      <c r="I55" s="111"/>
    </row>
    <row r="56" spans="1:9" ht="15.75" x14ac:dyDescent="0.25">
      <c r="A56" s="15" t="s">
        <v>1340</v>
      </c>
      <c r="B56" s="15" t="s">
        <v>1405</v>
      </c>
      <c r="C56" s="15">
        <v>1</v>
      </c>
      <c r="D56" s="62">
        <v>45112</v>
      </c>
      <c r="E56" s="62">
        <v>45769</v>
      </c>
      <c r="F56" s="63">
        <f>ROUND((E56-D56+1)/30,0)*INDEX(DB_Locations!H:H,MATCH(B56,DB_Locations!A:A,0))</f>
        <v>4180</v>
      </c>
      <c r="G56" s="15" t="s">
        <v>67</v>
      </c>
      <c r="H56" s="64">
        <f t="array" ref="H56">IF(C56=1,
    D56-VLOOKUP(B56,DB_Locations!A:D,4,FALSE),
    D56-INDEX(DB_Paiements!$E$2:$E$1000,MATCH(B56&amp;(C56-1),DB_Paiements!$B$2:$B$1000&amp;DB_Paiements!$C$2:$C$1000,0))
)</f>
        <v>0</v>
      </c>
      <c r="I56" s="111"/>
    </row>
    <row r="57" spans="1:9" ht="15.75" x14ac:dyDescent="0.25">
      <c r="A57" s="15" t="s">
        <v>1341</v>
      </c>
      <c r="B57" s="15" t="s">
        <v>1405</v>
      </c>
      <c r="C57" s="15">
        <v>2</v>
      </c>
      <c r="D57" s="62">
        <v>45769</v>
      </c>
      <c r="E57" s="62">
        <v>45859</v>
      </c>
      <c r="F57" s="63">
        <f>ROUND((E57-D57+1)/30,0)*INDEX(DB_Locations!H:H,MATCH(B57,DB_Locations!A:A,0))</f>
        <v>570</v>
      </c>
      <c r="G57" s="15" t="s">
        <v>67</v>
      </c>
      <c r="H57" s="64">
        <f t="array" ref="H57">IF(C57=1,
    D57-VLOOKUP(B57,DB_Locations!A:D,4,FALSE),
    D57-INDEX(DB_Paiements!$E$2:$E$1000,MATCH(B57&amp;(C57-1),DB_Paiements!$B$2:$B$1000&amp;DB_Paiements!$C$2:$C$1000,0))
)</f>
        <v>0</v>
      </c>
      <c r="I57" s="111"/>
    </row>
    <row r="58" spans="1:9" ht="15.75" x14ac:dyDescent="0.25">
      <c r="A58" s="15" t="s">
        <v>1342</v>
      </c>
      <c r="B58" s="15" t="s">
        <v>1406</v>
      </c>
      <c r="C58" s="15">
        <v>1</v>
      </c>
      <c r="D58" s="62">
        <v>45135</v>
      </c>
      <c r="E58" s="62">
        <v>45721</v>
      </c>
      <c r="F58" s="63">
        <f>ROUND((E58-D58+1)/30,0)*INDEX(DB_Locations!H:H,MATCH(B58,DB_Locations!A:A,0))</f>
        <v>3800</v>
      </c>
      <c r="G58" s="15" t="s">
        <v>67</v>
      </c>
      <c r="H58" s="64">
        <f t="array" ref="H58">IF(C58=1,
    D58-VLOOKUP(B58,DB_Locations!A:D,4,FALSE),
    D58-INDEX(DB_Paiements!$E$2:$E$1000,MATCH(B58&amp;(C58-1),DB_Paiements!$B$2:$B$1000&amp;DB_Paiements!$C$2:$C$1000,0))
)</f>
        <v>0</v>
      </c>
      <c r="I58" s="111"/>
    </row>
    <row r="59" spans="1:9" ht="15.75" x14ac:dyDescent="0.25">
      <c r="A59" s="15" t="s">
        <v>1343</v>
      </c>
      <c r="B59" s="15" t="s">
        <v>1406</v>
      </c>
      <c r="C59" s="15">
        <v>2</v>
      </c>
      <c r="D59" s="62">
        <v>45721</v>
      </c>
      <c r="E59" s="62">
        <v>45812</v>
      </c>
      <c r="F59" s="63">
        <f>ROUND((E59-D59+1)/30,0)*INDEX(DB_Locations!H:H,MATCH(B59,DB_Locations!A:A,0))</f>
        <v>570</v>
      </c>
      <c r="G59" s="15" t="s">
        <v>67</v>
      </c>
      <c r="H59" s="64">
        <f t="array" ref="H59">IF(C59=1,
    D59-VLOOKUP(B59,DB_Locations!A:D,4,FALSE),
    D59-INDEX(DB_Paiements!$E$2:$E$1000,MATCH(B59&amp;(C59-1),DB_Paiements!$B$2:$B$1000&amp;DB_Paiements!$C$2:$C$1000,0))
)</f>
        <v>0</v>
      </c>
      <c r="I59" s="111"/>
    </row>
    <row r="60" spans="1:9" ht="15.75" x14ac:dyDescent="0.25">
      <c r="A60" s="15" t="s">
        <v>1344</v>
      </c>
      <c r="B60" s="15" t="s">
        <v>1407</v>
      </c>
      <c r="C60" s="15">
        <v>1</v>
      </c>
      <c r="D60" s="62">
        <v>45135</v>
      </c>
      <c r="E60" s="62">
        <v>45763</v>
      </c>
      <c r="F60" s="63">
        <f>ROUND((E60-D60+1)/30,0)*INDEX(DB_Locations!H:H,MATCH(B60,DB_Locations!A:A,0))</f>
        <v>9030</v>
      </c>
      <c r="G60" s="15" t="s">
        <v>67</v>
      </c>
      <c r="H60" s="64">
        <f t="array" ref="H60">IF(C60=1,
    D60-VLOOKUP(B60,DB_Locations!A:D,4,FALSE),
    D60-INDEX(DB_Paiements!$E$2:$E$1000,MATCH(B60&amp;(C60-1),DB_Paiements!$B$2:$B$1000&amp;DB_Paiements!$C$2:$C$1000,0))
)</f>
        <v>0</v>
      </c>
      <c r="I60" s="111"/>
    </row>
    <row r="61" spans="1:9" ht="15.75" x14ac:dyDescent="0.25">
      <c r="A61" s="15" t="s">
        <v>1345</v>
      </c>
      <c r="B61" s="15" t="s">
        <v>1407</v>
      </c>
      <c r="C61" s="15">
        <v>2</v>
      </c>
      <c r="D61" s="62">
        <v>45763</v>
      </c>
      <c r="E61" s="62">
        <v>45945</v>
      </c>
      <c r="F61" s="63">
        <f>ROUND((E61-D61+1)/30,0)*INDEX(DB_Locations!H:H,MATCH(B61,DB_Locations!A:A,0))</f>
        <v>2580</v>
      </c>
      <c r="G61" s="15" t="s">
        <v>67</v>
      </c>
      <c r="H61" s="64">
        <f t="array" ref="H61">IF(C61=1,
    D61-VLOOKUP(B61,DB_Locations!A:D,4,FALSE),
    D61-INDEX(DB_Paiements!$E$2:$E$1000,MATCH(B61&amp;(C61-1),DB_Paiements!$B$2:$B$1000&amp;DB_Paiements!$C$2:$C$1000,0))
)</f>
        <v>0</v>
      </c>
      <c r="I61" s="111"/>
    </row>
    <row r="62" spans="1:9" ht="15.75" x14ac:dyDescent="0.25">
      <c r="A62" s="15" t="s">
        <v>1346</v>
      </c>
      <c r="B62" s="15" t="s">
        <v>1408</v>
      </c>
      <c r="C62" s="15">
        <v>1</v>
      </c>
      <c r="D62" s="62">
        <v>45138</v>
      </c>
      <c r="E62" s="62">
        <v>45806</v>
      </c>
      <c r="F62" s="63">
        <f>ROUND((E62-D62+1)/30,0)*INDEX(DB_Locations!H:H,MATCH(B62,DB_Locations!A:A,0))</f>
        <v>4180</v>
      </c>
      <c r="G62" s="15" t="s">
        <v>67</v>
      </c>
      <c r="H62" s="64">
        <f t="array" ref="H62">IF(C62=1,
    D62-VLOOKUP(B62,DB_Locations!A:D,4,FALSE),
    D62-INDEX(DB_Paiements!$E$2:$E$1000,MATCH(B62&amp;(C62-1),DB_Paiements!$B$2:$B$1000&amp;DB_Paiements!$C$2:$C$1000,0))
)</f>
        <v>0</v>
      </c>
      <c r="I62" s="111"/>
    </row>
    <row r="63" spans="1:9" ht="15.75" x14ac:dyDescent="0.25">
      <c r="A63" s="15" t="s">
        <v>1347</v>
      </c>
      <c r="B63" s="15" t="s">
        <v>1408</v>
      </c>
      <c r="C63" s="15">
        <v>2</v>
      </c>
      <c r="D63" s="62">
        <v>45806</v>
      </c>
      <c r="E63" s="62">
        <v>45897</v>
      </c>
      <c r="F63" s="63">
        <f>ROUND((E63-D63+1)/30,0)*INDEX(DB_Locations!H:H,MATCH(B63,DB_Locations!A:A,0))</f>
        <v>570</v>
      </c>
      <c r="G63" s="15" t="s">
        <v>67</v>
      </c>
      <c r="H63" s="64">
        <f t="array" ref="H63">IF(C63=1,
    D63-VLOOKUP(B63,DB_Locations!A:D,4,FALSE),
    D63-INDEX(DB_Paiements!$E$2:$E$1000,MATCH(B63&amp;(C63-1),DB_Paiements!$B$2:$B$1000&amp;DB_Paiements!$C$2:$C$1000,0))
)</f>
        <v>0</v>
      </c>
      <c r="I63" s="111"/>
    </row>
    <row r="64" spans="1:9" ht="15.75" x14ac:dyDescent="0.25">
      <c r="A64" s="15" t="s">
        <v>1348</v>
      </c>
      <c r="B64" s="15" t="s">
        <v>1409</v>
      </c>
      <c r="C64" s="15">
        <v>1</v>
      </c>
      <c r="D64" s="62">
        <v>45138</v>
      </c>
      <c r="E64" s="62">
        <v>45700</v>
      </c>
      <c r="F64" s="63">
        <f>ROUND((E64-D64+1)/30,0)*INDEX(DB_Locations!H:H,MATCH(B64,DB_Locations!A:A,0))</f>
        <v>8170</v>
      </c>
      <c r="G64" s="15" t="s">
        <v>67</v>
      </c>
      <c r="H64" s="64">
        <f t="array" ref="H64">IF(C64=1,
    D64-VLOOKUP(B64,DB_Locations!A:D,4,FALSE),
    D64-INDEX(DB_Paiements!$E$2:$E$1000,MATCH(B64&amp;(C64-1),DB_Paiements!$B$2:$B$1000&amp;DB_Paiements!$C$2:$C$1000,0))
)</f>
        <v>0</v>
      </c>
      <c r="I64" s="111"/>
    </row>
    <row r="65" spans="1:9" ht="15.75" x14ac:dyDescent="0.25">
      <c r="A65" s="15" t="s">
        <v>1349</v>
      </c>
      <c r="B65" s="15" t="s">
        <v>1409</v>
      </c>
      <c r="C65" s="15">
        <v>2</v>
      </c>
      <c r="D65" s="62">
        <v>45700</v>
      </c>
      <c r="E65" s="62">
        <v>45880</v>
      </c>
      <c r="F65" s="63">
        <f>ROUND((E65-D65+1)/30,0)*INDEX(DB_Locations!H:H,MATCH(B65,DB_Locations!A:A,0))</f>
        <v>2580</v>
      </c>
      <c r="G65" s="15" t="s">
        <v>67</v>
      </c>
      <c r="H65" s="64">
        <f t="array" ref="H65">IF(C65=1,
    D65-VLOOKUP(B65,DB_Locations!A:D,4,FALSE),
    D65-INDEX(DB_Paiements!$E$2:$E$1000,MATCH(B65&amp;(C65-1),DB_Paiements!$B$2:$B$1000&amp;DB_Paiements!$C$2:$C$1000,0))
)</f>
        <v>0</v>
      </c>
      <c r="I65" s="111"/>
    </row>
    <row r="66" spans="1:9" ht="15.75" x14ac:dyDescent="0.25">
      <c r="A66" s="15" t="s">
        <v>1350</v>
      </c>
      <c r="B66" s="15" t="s">
        <v>1410</v>
      </c>
      <c r="C66" s="15">
        <v>1</v>
      </c>
      <c r="D66" s="62">
        <v>45226</v>
      </c>
      <c r="E66" s="62">
        <v>45799</v>
      </c>
      <c r="F66" s="63">
        <f>ROUND((E66-D66+1)/30,0)*INDEX(DB_Locations!H:H,MATCH(B66,DB_Locations!A:A,0))</f>
        <v>3610</v>
      </c>
      <c r="G66" s="15" t="s">
        <v>67</v>
      </c>
      <c r="H66" s="64">
        <f t="array" ref="H66">IF(C66=1,
    D66-VLOOKUP(B66,DB_Locations!A:D,4,FALSE),
    D66-INDEX(DB_Paiements!$E$2:$E$1000,MATCH(B66&amp;(C66-1),DB_Paiements!$B$2:$B$1000&amp;DB_Paiements!$C$2:$C$1000,0))
)</f>
        <v>0</v>
      </c>
      <c r="I66" s="111"/>
    </row>
    <row r="67" spans="1:9" ht="15.75" x14ac:dyDescent="0.25">
      <c r="A67" s="15" t="s">
        <v>1351</v>
      </c>
      <c r="B67" s="15" t="s">
        <v>1410</v>
      </c>
      <c r="C67" s="15">
        <v>2</v>
      </c>
      <c r="D67" s="62">
        <v>45799</v>
      </c>
      <c r="E67" s="62">
        <v>45890</v>
      </c>
      <c r="F67" s="63">
        <f>ROUND((E67-D67+1)/30,0)*INDEX(DB_Locations!H:H,MATCH(B67,DB_Locations!A:A,0))</f>
        <v>570</v>
      </c>
      <c r="G67" s="15" t="s">
        <v>67</v>
      </c>
      <c r="H67" s="64">
        <f t="array" ref="H67">IF(C67=1,
    D67-VLOOKUP(B67,DB_Locations!A:D,4,FALSE),
    D67-INDEX(DB_Paiements!$E$2:$E$1000,MATCH(B67&amp;(C67-1),DB_Paiements!$B$2:$B$1000&amp;DB_Paiements!$C$2:$C$1000,0))
)</f>
        <v>0</v>
      </c>
      <c r="I67" s="111"/>
    </row>
    <row r="68" spans="1:9" ht="15.75" x14ac:dyDescent="0.25">
      <c r="A68" s="15" t="s">
        <v>1352</v>
      </c>
      <c r="B68" s="15" t="s">
        <v>1411</v>
      </c>
      <c r="C68" s="15">
        <v>1</v>
      </c>
      <c r="D68" s="62">
        <v>45252</v>
      </c>
      <c r="E68" s="62">
        <v>45811</v>
      </c>
      <c r="F68" s="63">
        <f>ROUND((E68-D68+1)/30,0)*INDEX(DB_Locations!H:H,MATCH(B68,DB_Locations!A:A,0))</f>
        <v>3610</v>
      </c>
      <c r="G68" s="15" t="s">
        <v>67</v>
      </c>
      <c r="H68" s="64">
        <f t="array" ref="H68">IF(C68=1,
    D68-VLOOKUP(B68,DB_Locations!A:D,4,FALSE),
    D68-INDEX(DB_Paiements!$E$2:$E$1000,MATCH(B68&amp;(C68-1),DB_Paiements!$B$2:$B$1000&amp;DB_Paiements!$C$2:$C$1000,0))
)</f>
        <v>0</v>
      </c>
      <c r="I68" s="111"/>
    </row>
    <row r="69" spans="1:9" ht="15.75" x14ac:dyDescent="0.25">
      <c r="A69" s="15" t="s">
        <v>1353</v>
      </c>
      <c r="B69" s="15" t="s">
        <v>1411</v>
      </c>
      <c r="C69" s="15">
        <v>2</v>
      </c>
      <c r="D69" s="62">
        <v>45811</v>
      </c>
      <c r="E69" s="62">
        <v>45902</v>
      </c>
      <c r="F69" s="63">
        <f>ROUND((E69-D69+1)/30,0)*INDEX(DB_Locations!H:H,MATCH(B69,DB_Locations!A:A,0))</f>
        <v>570</v>
      </c>
      <c r="G69" s="15" t="s">
        <v>67</v>
      </c>
      <c r="H69" s="64">
        <f t="array" ref="H69">IF(C69=1,
    D69-VLOOKUP(B69,DB_Locations!A:D,4,FALSE),
    D69-INDEX(DB_Paiements!$E$2:$E$1000,MATCH(B69&amp;(C69-1),DB_Paiements!$B$2:$B$1000&amp;DB_Paiements!$C$2:$C$1000,0))
)</f>
        <v>0</v>
      </c>
      <c r="I69" s="111"/>
    </row>
    <row r="70" spans="1:9" ht="15.75" x14ac:dyDescent="0.25">
      <c r="A70" s="15" t="s">
        <v>1354</v>
      </c>
      <c r="B70" s="15" t="s">
        <v>1412</v>
      </c>
      <c r="C70" s="15">
        <v>1</v>
      </c>
      <c r="D70" s="62">
        <v>45266</v>
      </c>
      <c r="E70" s="62">
        <v>45803</v>
      </c>
      <c r="F70" s="63">
        <f>ROUND((E70-D70+1)/30,0)*INDEX(DB_Locations!H:H,MATCH(B70,DB_Locations!A:A,0))</f>
        <v>3420</v>
      </c>
      <c r="G70" s="15" t="s">
        <v>67</v>
      </c>
      <c r="H70" s="64">
        <f t="array" ref="H70">IF(C70=1,
    D70-VLOOKUP(B70,DB_Locations!A:D,4,FALSE),
    D70-INDEX(DB_Paiements!$E$2:$E$1000,MATCH(B70&amp;(C70-1),DB_Paiements!$B$2:$B$1000&amp;DB_Paiements!$C$2:$C$1000,0))
)</f>
        <v>0</v>
      </c>
      <c r="I70" s="111"/>
    </row>
    <row r="71" spans="1:9" ht="15.75" x14ac:dyDescent="0.25">
      <c r="A71" s="15" t="s">
        <v>1355</v>
      </c>
      <c r="B71" s="15" t="s">
        <v>1412</v>
      </c>
      <c r="C71" s="15">
        <v>2</v>
      </c>
      <c r="D71" s="62">
        <v>45803</v>
      </c>
      <c r="E71" s="62">
        <v>45894</v>
      </c>
      <c r="F71" s="63">
        <f>ROUND((E71-D71+1)/30,0)*INDEX(DB_Locations!H:H,MATCH(B71,DB_Locations!A:A,0))</f>
        <v>570</v>
      </c>
      <c r="G71" s="15" t="s">
        <v>67</v>
      </c>
      <c r="H71" s="64">
        <f t="array" ref="H71">IF(C71=1,
    D71-VLOOKUP(B71,DB_Locations!A:D,4,FALSE),
    D71-INDEX(DB_Paiements!$E$2:$E$1000,MATCH(B71&amp;(C71-1),DB_Paiements!$B$2:$B$1000&amp;DB_Paiements!$C$2:$C$1000,0))
)</f>
        <v>0</v>
      </c>
      <c r="I71" s="111"/>
    </row>
    <row r="72" spans="1:9" ht="15.75" x14ac:dyDescent="0.25">
      <c r="A72" s="15" t="s">
        <v>1356</v>
      </c>
      <c r="B72" s="15" t="s">
        <v>1413</v>
      </c>
      <c r="C72" s="15">
        <v>1</v>
      </c>
      <c r="D72" s="62">
        <v>43243</v>
      </c>
      <c r="E72" s="62">
        <v>45811</v>
      </c>
      <c r="F72" s="63">
        <f>ROUND((E72-D72+1)/30,0)*INDEX(DB_Locations!H:H,MATCH(B72,DB_Locations!A:A,0))</f>
        <v>36980</v>
      </c>
      <c r="G72" s="15" t="s">
        <v>67</v>
      </c>
      <c r="H72" s="64">
        <f t="array" ref="H72">IF(C72=1,
    D72-VLOOKUP(B72,DB_Locations!A:D,4,FALSE),
    D72-INDEX(DB_Paiements!$E$2:$E$1000,MATCH(B72&amp;(C72-1),DB_Paiements!$B$2:$B$1000&amp;DB_Paiements!$C$2:$C$1000,0))
)</f>
        <v>0</v>
      </c>
      <c r="I72" s="111"/>
    </row>
    <row r="73" spans="1:9" ht="15.75" x14ac:dyDescent="0.25">
      <c r="A73" s="15" t="s">
        <v>1357</v>
      </c>
      <c r="B73" s="15" t="s">
        <v>1413</v>
      </c>
      <c r="C73" s="15">
        <v>2</v>
      </c>
      <c r="D73" s="62">
        <v>45811</v>
      </c>
      <c r="E73" s="62">
        <v>45993</v>
      </c>
      <c r="F73" s="63">
        <f>ROUND((E73-D73+1)/30,0)*INDEX(DB_Locations!H:H,MATCH(B73,DB_Locations!A:A,0))</f>
        <v>2580</v>
      </c>
      <c r="G73" s="15" t="s">
        <v>67</v>
      </c>
      <c r="H73" s="64">
        <f t="array" ref="H73">IF(C73=1,
    D73-VLOOKUP(B73,DB_Locations!A:D,4,FALSE),
    D73-INDEX(DB_Paiements!$E$2:$E$1000,MATCH(B73&amp;(C73-1),DB_Paiements!$B$2:$B$1000&amp;DB_Paiements!$C$2:$C$1000,0))
)</f>
        <v>0</v>
      </c>
      <c r="I73" s="111"/>
    </row>
    <row r="74" spans="1:9" ht="15.75" x14ac:dyDescent="0.25">
      <c r="A74" s="15" t="s">
        <v>1358</v>
      </c>
      <c r="B74" s="15" t="s">
        <v>1414</v>
      </c>
      <c r="C74" s="15">
        <v>1</v>
      </c>
      <c r="D74" s="62">
        <v>45272</v>
      </c>
      <c r="E74" s="62">
        <v>45792</v>
      </c>
      <c r="F74" s="63">
        <f>ROUND((E74-D74+1)/30,0)*INDEX(DB_Locations!H:H,MATCH(B74,DB_Locations!A:A,0))</f>
        <v>3230</v>
      </c>
      <c r="G74" s="15" t="s">
        <v>67</v>
      </c>
      <c r="H74" s="64">
        <f t="array" ref="H74">IF(C74=1,
    D74-VLOOKUP(B74,DB_Locations!A:D,4,FALSE),
    D74-INDEX(DB_Paiements!$E$2:$E$1000,MATCH(B74&amp;(C74-1),DB_Paiements!$B$2:$B$1000&amp;DB_Paiements!$C$2:$C$1000,0))
)</f>
        <v>0</v>
      </c>
      <c r="I74" s="111"/>
    </row>
    <row r="75" spans="1:9" ht="15.75" x14ac:dyDescent="0.25">
      <c r="A75" s="15" t="s">
        <v>1359</v>
      </c>
      <c r="B75" s="15" t="s">
        <v>1414</v>
      </c>
      <c r="C75" s="15">
        <v>2</v>
      </c>
      <c r="D75" s="62">
        <v>45792</v>
      </c>
      <c r="E75" s="62">
        <v>45883</v>
      </c>
      <c r="F75" s="63">
        <f>ROUND((E75-D75+1)/30,0)*INDEX(DB_Locations!H:H,MATCH(B75,DB_Locations!A:A,0))</f>
        <v>570</v>
      </c>
      <c r="G75" s="15" t="s">
        <v>67</v>
      </c>
      <c r="H75" s="64">
        <f t="array" ref="H75">IF(C75=1,
    D75-VLOOKUP(B75,DB_Locations!A:D,4,FALSE),
    D75-INDEX(DB_Paiements!$E$2:$E$1000,MATCH(B75&amp;(C75-1),DB_Paiements!$B$2:$B$1000&amp;DB_Paiements!$C$2:$C$1000,0))
)</f>
        <v>0</v>
      </c>
      <c r="I75" s="111"/>
    </row>
    <row r="76" spans="1:9" ht="15.75" x14ac:dyDescent="0.25">
      <c r="A76" s="15" t="s">
        <v>1360</v>
      </c>
      <c r="B76" s="15" t="s">
        <v>1415</v>
      </c>
      <c r="C76" s="15">
        <v>1</v>
      </c>
      <c r="D76" s="62">
        <v>45272</v>
      </c>
      <c r="E76" s="62">
        <v>45695</v>
      </c>
      <c r="F76" s="63">
        <f>ROUND((E76-D76+1)/30,0)*INDEX(DB_Locations!H:H,MATCH(B76,DB_Locations!A:A,0))</f>
        <v>6020</v>
      </c>
      <c r="G76" s="15" t="s">
        <v>67</v>
      </c>
      <c r="H76" s="64">
        <f t="array" ref="H76">IF(C76=1,
    D76-VLOOKUP(B76,DB_Locations!A:D,4,FALSE),
    D76-INDEX(DB_Paiements!$E$2:$E$1000,MATCH(B76&amp;(C76-1),DB_Paiements!$B$2:$B$1000&amp;DB_Paiements!$C$2:$C$1000,0))
)</f>
        <v>0</v>
      </c>
      <c r="I76" s="111"/>
    </row>
    <row r="77" spans="1:9" ht="15.75" x14ac:dyDescent="0.25">
      <c r="A77" s="15" t="s">
        <v>1361</v>
      </c>
      <c r="B77" s="15" t="s">
        <v>1415</v>
      </c>
      <c r="C77" s="15">
        <v>2</v>
      </c>
      <c r="D77" s="62">
        <v>45695</v>
      </c>
      <c r="E77" s="62">
        <v>45875</v>
      </c>
      <c r="F77" s="63">
        <f>ROUND((E77-D77+1)/30,0)*INDEX(DB_Locations!H:H,MATCH(B77,DB_Locations!A:A,0))</f>
        <v>2580</v>
      </c>
      <c r="G77" s="15" t="s">
        <v>67</v>
      </c>
      <c r="H77" s="64">
        <f t="array" ref="H77">IF(C77=1,
    D77-VLOOKUP(B77,DB_Locations!A:D,4,FALSE),
    D77-INDEX(DB_Paiements!$E$2:$E$1000,MATCH(B77&amp;(C77-1),DB_Paiements!$B$2:$B$1000&amp;DB_Paiements!$C$2:$C$1000,0))
)</f>
        <v>0</v>
      </c>
      <c r="I77" s="111"/>
    </row>
    <row r="78" spans="1:9" ht="15.75" x14ac:dyDescent="0.25">
      <c r="A78" s="15" t="s">
        <v>1362</v>
      </c>
      <c r="B78" s="15" t="s">
        <v>1416</v>
      </c>
      <c r="C78" s="15">
        <v>1</v>
      </c>
      <c r="D78" s="62">
        <v>45300</v>
      </c>
      <c r="E78" s="62">
        <v>45811</v>
      </c>
      <c r="F78" s="63">
        <f>ROUND((E78-D78+1)/30,0)*INDEX(DB_Locations!H:H,MATCH(B78,DB_Locations!A:A,0))</f>
        <v>3230</v>
      </c>
      <c r="G78" s="15" t="s">
        <v>67</v>
      </c>
      <c r="H78" s="64">
        <f t="array" ref="H78">IF(C78=1,
    D78-VLOOKUP(B78,DB_Locations!A:D,4,FALSE),
    D78-INDEX(DB_Paiements!$E$2:$E$1000,MATCH(B78&amp;(C78-1),DB_Paiements!$B$2:$B$1000&amp;DB_Paiements!$C$2:$C$1000,0))
)</f>
        <v>0</v>
      </c>
      <c r="I78" s="111"/>
    </row>
    <row r="79" spans="1:9" ht="15.75" x14ac:dyDescent="0.25">
      <c r="A79" s="15" t="s">
        <v>1363</v>
      </c>
      <c r="B79" s="15" t="s">
        <v>1416</v>
      </c>
      <c r="C79" s="15">
        <v>2</v>
      </c>
      <c r="D79" s="62">
        <v>45811</v>
      </c>
      <c r="E79" s="62">
        <v>45902</v>
      </c>
      <c r="F79" s="63">
        <f>ROUND((E79-D79+1)/30,0)*INDEX(DB_Locations!H:H,MATCH(B79,DB_Locations!A:A,0))</f>
        <v>570</v>
      </c>
      <c r="G79" s="15" t="s">
        <v>67</v>
      </c>
      <c r="H79" s="64">
        <f t="array" ref="H79">IF(C79=1,
    D79-VLOOKUP(B79,DB_Locations!A:D,4,FALSE),
    D79-INDEX(DB_Paiements!$E$2:$E$1000,MATCH(B79&amp;(C79-1),DB_Paiements!$B$2:$B$1000&amp;DB_Paiements!$C$2:$C$1000,0))
)</f>
        <v>0</v>
      </c>
      <c r="I79" s="111"/>
    </row>
    <row r="80" spans="1:9" ht="15.75" x14ac:dyDescent="0.25">
      <c r="A80" s="15" t="s">
        <v>1364</v>
      </c>
      <c r="B80" s="15" t="s">
        <v>1417</v>
      </c>
      <c r="C80" s="15">
        <v>1</v>
      </c>
      <c r="D80" s="62">
        <v>45300</v>
      </c>
      <c r="E80" s="62">
        <v>45811</v>
      </c>
      <c r="F80" s="63">
        <f>ROUND((E80-D80+1)/30,0)*INDEX(DB_Locations!H:H,MATCH(B80,DB_Locations!A:A,0))</f>
        <v>7310</v>
      </c>
      <c r="G80" s="15" t="s">
        <v>67</v>
      </c>
      <c r="H80" s="64">
        <f t="array" ref="H80">IF(C80=1,
    D80-VLOOKUP(B80,DB_Locations!A:D,4,FALSE),
    D80-INDEX(DB_Paiements!$E$2:$E$1000,MATCH(B80&amp;(C80-1),DB_Paiements!$B$2:$B$1000&amp;DB_Paiements!$C$2:$C$1000,0))
)</f>
        <v>0</v>
      </c>
      <c r="I80" s="111"/>
    </row>
    <row r="81" spans="1:9" ht="15.75" x14ac:dyDescent="0.25">
      <c r="A81" s="15" t="s">
        <v>1365</v>
      </c>
      <c r="B81" s="15" t="s">
        <v>1417</v>
      </c>
      <c r="C81" s="15">
        <v>2</v>
      </c>
      <c r="D81" s="62">
        <v>45811</v>
      </c>
      <c r="E81" s="62">
        <v>45993</v>
      </c>
      <c r="F81" s="63">
        <f>ROUND((E81-D81+1)/30,0)*INDEX(DB_Locations!H:H,MATCH(B81,DB_Locations!A:A,0))</f>
        <v>2580</v>
      </c>
      <c r="G81" s="15" t="s">
        <v>67</v>
      </c>
      <c r="H81" s="64">
        <f t="array" ref="H81">IF(C81=1,
    D81-VLOOKUP(B81,DB_Locations!A:D,4,FALSE),
    D81-INDEX(DB_Paiements!$E$2:$E$1000,MATCH(B81&amp;(C81-1),DB_Paiements!$B$2:$B$1000&amp;DB_Paiements!$C$2:$C$1000,0))
)</f>
        <v>0</v>
      </c>
      <c r="I81" s="111"/>
    </row>
    <row r="82" spans="1:9" ht="15.75" x14ac:dyDescent="0.25">
      <c r="A82" s="15" t="s">
        <v>1366</v>
      </c>
      <c r="B82" s="15" t="s">
        <v>1418</v>
      </c>
      <c r="C82" s="15">
        <v>1</v>
      </c>
      <c r="D82" s="62">
        <v>45304</v>
      </c>
      <c r="E82" s="62">
        <v>45822</v>
      </c>
      <c r="F82" s="63">
        <f>ROUND((E82-D82+1)/30,0)*INDEX(DB_Locations!H:H,MATCH(B82,DB_Locations!A:A,0))</f>
        <v>3230</v>
      </c>
      <c r="G82" s="15" t="s">
        <v>67</v>
      </c>
      <c r="H82" s="64">
        <f t="array" ref="H82">IF(C82=1,
    D82-VLOOKUP(B82,DB_Locations!A:D,4,FALSE),
    D82-INDEX(DB_Paiements!$E$2:$E$1000,MATCH(B82&amp;(C82-1),DB_Paiements!$B$2:$B$1000&amp;DB_Paiements!$C$2:$C$1000,0))
)</f>
        <v>0</v>
      </c>
      <c r="I82" s="111"/>
    </row>
    <row r="83" spans="1:9" ht="15.75" x14ac:dyDescent="0.25">
      <c r="A83" s="15" t="s">
        <v>1367</v>
      </c>
      <c r="B83" s="15" t="s">
        <v>1418</v>
      </c>
      <c r="C83" s="15">
        <v>2</v>
      </c>
      <c r="D83" s="62">
        <v>45822</v>
      </c>
      <c r="E83" s="62">
        <v>45913</v>
      </c>
      <c r="F83" s="63">
        <f>ROUND((E83-D83+1)/30,0)*INDEX(DB_Locations!H:H,MATCH(B83,DB_Locations!A:A,0))</f>
        <v>570</v>
      </c>
      <c r="G83" s="15" t="s">
        <v>67</v>
      </c>
      <c r="H83" s="64">
        <f t="array" ref="H83">IF(C83=1,
    D83-VLOOKUP(B83,DB_Locations!A:D,4,FALSE),
    D83-INDEX(DB_Paiements!$E$2:$E$1000,MATCH(B83&amp;(C83-1),DB_Paiements!$B$2:$B$1000&amp;DB_Paiements!$C$2:$C$1000,0))
)</f>
        <v>0</v>
      </c>
      <c r="I83" s="111"/>
    </row>
    <row r="84" spans="1:9" ht="15.75" x14ac:dyDescent="0.25">
      <c r="A84" s="15" t="s">
        <v>1368</v>
      </c>
      <c r="B84" s="15" t="s">
        <v>1419</v>
      </c>
      <c r="C84" s="15">
        <v>1</v>
      </c>
      <c r="D84" s="62">
        <v>45304</v>
      </c>
      <c r="E84" s="62">
        <v>45789</v>
      </c>
      <c r="F84" s="63">
        <f>ROUND((E84-D84+1)/30,0)*INDEX(DB_Locations!H:H,MATCH(B84,DB_Locations!A:A,0))</f>
        <v>6880</v>
      </c>
      <c r="G84" s="15" t="s">
        <v>67</v>
      </c>
      <c r="H84" s="64">
        <f t="array" ref="H84">IF(C84=1,
    D84-VLOOKUP(B84,DB_Locations!A:D,4,FALSE),
    D84-INDEX(DB_Paiements!$E$2:$E$1000,MATCH(B84&amp;(C84-1),DB_Paiements!$B$2:$B$1000&amp;DB_Paiements!$C$2:$C$1000,0))
)</f>
        <v>0</v>
      </c>
      <c r="I84" s="111"/>
    </row>
    <row r="85" spans="1:9" ht="15.75" x14ac:dyDescent="0.25">
      <c r="A85" s="15" t="s">
        <v>1369</v>
      </c>
      <c r="B85" s="15" t="s">
        <v>1419</v>
      </c>
      <c r="C85" s="15">
        <v>2</v>
      </c>
      <c r="D85" s="62">
        <v>45789</v>
      </c>
      <c r="E85" s="62">
        <v>45972</v>
      </c>
      <c r="F85" s="63">
        <f>ROUND((E85-D85+1)/30,0)*INDEX(DB_Locations!H:H,MATCH(B85,DB_Locations!A:A,0))</f>
        <v>2580</v>
      </c>
      <c r="G85" s="15" t="s">
        <v>67</v>
      </c>
      <c r="H85" s="64">
        <f t="array" ref="H85">IF(C85=1,
    D85-VLOOKUP(B85,DB_Locations!A:D,4,FALSE),
    D85-INDEX(DB_Paiements!$E$2:$E$1000,MATCH(B85&amp;(C85-1),DB_Paiements!$B$2:$B$1000&amp;DB_Paiements!$C$2:$C$1000,0))
)</f>
        <v>0</v>
      </c>
      <c r="I85" s="111"/>
    </row>
    <row r="86" spans="1:9" ht="15.75" x14ac:dyDescent="0.25">
      <c r="A86" s="15" t="s">
        <v>1370</v>
      </c>
      <c r="B86" s="15" t="s">
        <v>1420</v>
      </c>
      <c r="C86" s="15">
        <v>1</v>
      </c>
      <c r="D86" s="62">
        <v>45579</v>
      </c>
      <c r="E86" s="62">
        <v>45724</v>
      </c>
      <c r="F86" s="63">
        <f>ROUND((E86-D86+1)/30,0)*INDEX(DB_Locations!H:H,MATCH(B86,DB_Locations!A:A,0))</f>
        <v>950</v>
      </c>
      <c r="G86" s="15" t="s">
        <v>67</v>
      </c>
      <c r="H86" s="64">
        <f t="array" ref="H86">IF(C86=1,
    D86-VLOOKUP(B86,DB_Locations!A:D,4,FALSE),
    D86-INDEX(DB_Paiements!$E$2:$E$1000,MATCH(B86&amp;(C86-1),DB_Paiements!$B$2:$B$1000&amp;DB_Paiements!$C$2:$C$1000,0))
)</f>
        <v>0</v>
      </c>
      <c r="I86" s="111"/>
    </row>
    <row r="87" spans="1:9" ht="15.75" x14ac:dyDescent="0.25">
      <c r="A87" s="15" t="s">
        <v>1371</v>
      </c>
      <c r="B87" s="15" t="s">
        <v>1420</v>
      </c>
      <c r="C87" s="15">
        <v>2</v>
      </c>
      <c r="D87" s="62">
        <v>45724</v>
      </c>
      <c r="E87" s="62">
        <v>45815</v>
      </c>
      <c r="F87" s="63">
        <f>ROUND((E87-D87+1)/30,0)*INDEX(DB_Locations!H:H,MATCH(B87,DB_Locations!A:A,0))</f>
        <v>570</v>
      </c>
      <c r="G87" s="15" t="s">
        <v>67</v>
      </c>
      <c r="H87" s="64">
        <f t="array" ref="H87">IF(C87=1,
    D87-VLOOKUP(B87,DB_Locations!A:D,4,FALSE),
    D87-INDEX(DB_Paiements!$E$2:$E$1000,MATCH(B87&amp;(C87-1),DB_Paiements!$B$2:$B$1000&amp;DB_Paiements!$C$2:$C$1000,0))
)</f>
        <v>0</v>
      </c>
      <c r="I87" s="111"/>
    </row>
    <row r="88" spans="1:9" ht="15.75" x14ac:dyDescent="0.25">
      <c r="A88" s="15" t="s">
        <v>1372</v>
      </c>
      <c r="B88" s="15" t="s">
        <v>1421</v>
      </c>
      <c r="C88" s="15">
        <v>1</v>
      </c>
      <c r="D88" s="62">
        <v>44512</v>
      </c>
      <c r="E88" s="62">
        <v>45666</v>
      </c>
      <c r="F88" s="63">
        <f>ROUND((E88-D88+1)/30,0)*INDEX(DB_Locations!H:H,MATCH(B88,DB_Locations!A:A,0))</f>
        <v>16770</v>
      </c>
      <c r="G88" s="15" t="s">
        <v>67</v>
      </c>
      <c r="H88" s="64">
        <f t="array" ref="H88">IF(C88=1,
    D88-VLOOKUP(B88,DB_Locations!A:D,4,FALSE),
    D88-INDEX(DB_Paiements!$E$2:$E$1000,MATCH(B88&amp;(C88-1),DB_Paiements!$B$2:$B$1000&amp;DB_Paiements!$C$2:$C$1000,0))
)</f>
        <v>0</v>
      </c>
      <c r="I88" s="111"/>
    </row>
    <row r="89" spans="1:9" ht="15.75" x14ac:dyDescent="0.25">
      <c r="A89" s="15" t="s">
        <v>1373</v>
      </c>
      <c r="B89" s="15" t="s">
        <v>1421</v>
      </c>
      <c r="C89" s="15">
        <v>2</v>
      </c>
      <c r="D89" s="62">
        <v>45666</v>
      </c>
      <c r="E89" s="62">
        <v>45846</v>
      </c>
      <c r="F89" s="63">
        <f>ROUND((E89-D89+1)/30,0)*INDEX(DB_Locations!H:H,MATCH(B89,DB_Locations!A:A,0))</f>
        <v>2580</v>
      </c>
      <c r="G89" s="15" t="s">
        <v>67</v>
      </c>
      <c r="H89" s="64">
        <f t="array" ref="H89">IF(C89=1,
    D89-VLOOKUP(B89,DB_Locations!A:D,4,FALSE),
    D89-INDEX(DB_Paiements!$E$2:$E$1000,MATCH(B89&amp;(C89-1),DB_Paiements!$B$2:$B$1000&amp;DB_Paiements!$C$2:$C$1000,0))
)</f>
        <v>0</v>
      </c>
      <c r="I89" s="111"/>
    </row>
    <row r="90" spans="1:9" ht="15.75" x14ac:dyDescent="0.25">
      <c r="A90" s="15" t="s">
        <v>1374</v>
      </c>
      <c r="B90" s="15" t="s">
        <v>1422</v>
      </c>
      <c r="C90" s="15">
        <v>1</v>
      </c>
      <c r="D90" s="62">
        <v>45584</v>
      </c>
      <c r="E90" s="62">
        <v>45769</v>
      </c>
      <c r="F90" s="63">
        <f>ROUND((E90-D90+1)/30,0)*INDEX(DB_Locations!H:H,MATCH(B90,DB_Locations!A:A,0))</f>
        <v>1140</v>
      </c>
      <c r="G90" s="15" t="s">
        <v>67</v>
      </c>
      <c r="H90" s="64">
        <f t="array" ref="H90">IF(C90=1,
    D90-VLOOKUP(B90,DB_Locations!A:D,4,FALSE),
    D90-INDEX(DB_Paiements!$E$2:$E$1000,MATCH(B90&amp;(C90-1),DB_Paiements!$B$2:$B$1000&amp;DB_Paiements!$C$2:$C$1000,0))
)</f>
        <v>0</v>
      </c>
      <c r="I90" s="111"/>
    </row>
    <row r="91" spans="1:9" ht="15.75" x14ac:dyDescent="0.25">
      <c r="A91" s="15" t="s">
        <v>1375</v>
      </c>
      <c r="B91" s="15" t="s">
        <v>1422</v>
      </c>
      <c r="C91" s="15">
        <v>2</v>
      </c>
      <c r="D91" s="62">
        <v>45769</v>
      </c>
      <c r="E91" s="62">
        <v>45859</v>
      </c>
      <c r="F91" s="63">
        <f>ROUND((E91-D91+1)/30,0)*INDEX(DB_Locations!H:H,MATCH(B91,DB_Locations!A:A,0))</f>
        <v>570</v>
      </c>
      <c r="G91" s="15" t="s">
        <v>67</v>
      </c>
      <c r="H91" s="64">
        <f t="array" ref="H91">IF(C91=1,
    D91-VLOOKUP(B91,DB_Locations!A:D,4,FALSE),
    D91-INDEX(DB_Paiements!$E$2:$E$1000,MATCH(B91&amp;(C91-1),DB_Paiements!$B$2:$B$1000&amp;DB_Paiements!$C$2:$C$1000,0))
)</f>
        <v>0</v>
      </c>
      <c r="I91" s="111"/>
    </row>
    <row r="92" spans="1:9" ht="15.75" x14ac:dyDescent="0.25">
      <c r="A92" s="15" t="s">
        <v>1376</v>
      </c>
      <c r="B92" s="15" t="s">
        <v>1423</v>
      </c>
      <c r="C92" s="15">
        <v>1</v>
      </c>
      <c r="D92" s="62">
        <v>45609</v>
      </c>
      <c r="E92" s="62">
        <v>45803</v>
      </c>
      <c r="F92" s="63">
        <f>ROUND((E92-D92+1)/30,0)*INDEX(DB_Locations!H:H,MATCH(B92,DB_Locations!A:A,0))</f>
        <v>1330</v>
      </c>
      <c r="G92" s="15" t="s">
        <v>67</v>
      </c>
      <c r="H92" s="64">
        <f t="array" ref="H92">IF(C92=1,
    D92-VLOOKUP(B92,DB_Locations!A:D,4,FALSE),
    D92-INDEX(DB_Paiements!$E$2:$E$1000,MATCH(B92&amp;(C92-1),DB_Paiements!$B$2:$B$1000&amp;DB_Paiements!$C$2:$C$1000,0))
)</f>
        <v>0</v>
      </c>
      <c r="I92" s="111"/>
    </row>
    <row r="93" spans="1:9" ht="15.75" x14ac:dyDescent="0.25">
      <c r="A93" s="15" t="s">
        <v>1377</v>
      </c>
      <c r="B93" s="15" t="s">
        <v>1423</v>
      </c>
      <c r="C93" s="15">
        <v>2</v>
      </c>
      <c r="D93" s="62">
        <v>45803</v>
      </c>
      <c r="E93" s="62">
        <v>45894</v>
      </c>
      <c r="F93" s="63">
        <f>ROUND((E93-D93+1)/30,0)*INDEX(DB_Locations!H:H,MATCH(B93,DB_Locations!A:A,0))</f>
        <v>570</v>
      </c>
      <c r="G93" s="15" t="s">
        <v>67</v>
      </c>
      <c r="H93" s="64">
        <f t="array" ref="H93">IF(C93=1,
    D93-VLOOKUP(B93,DB_Locations!A:D,4,FALSE),
    D93-INDEX(DB_Paiements!$E$2:$E$1000,MATCH(B93&amp;(C93-1),DB_Paiements!$B$2:$B$1000&amp;DB_Paiements!$C$2:$C$1000,0))
)</f>
        <v>0</v>
      </c>
      <c r="I93" s="111"/>
    </row>
    <row r="94" spans="1:9" ht="15.75" x14ac:dyDescent="0.25">
      <c r="A94" s="15" t="s">
        <v>1378</v>
      </c>
      <c r="B94" s="15" t="s">
        <v>1424</v>
      </c>
      <c r="C94" s="15">
        <v>1</v>
      </c>
      <c r="D94" s="62">
        <v>45549</v>
      </c>
      <c r="E94" s="62">
        <v>45706</v>
      </c>
      <c r="F94" s="63">
        <f>ROUND((E94-D94+1)/30,0)*INDEX(DB_Locations!H:H,MATCH(B94,DB_Locations!A:A,0))</f>
        <v>2150</v>
      </c>
      <c r="G94" s="15" t="s">
        <v>67</v>
      </c>
      <c r="H94" s="64">
        <f t="array" ref="H94">IF(C94=1,
    D94-VLOOKUP(B94,DB_Locations!A:D,4,FALSE),
    D94-INDEX(DB_Paiements!$E$2:$E$1000,MATCH(B94&amp;(C94-1),DB_Paiements!$B$2:$B$1000&amp;DB_Paiements!$C$2:$C$1000,0))
)</f>
        <v>0</v>
      </c>
      <c r="I94" s="111"/>
    </row>
    <row r="95" spans="1:9" ht="15.75" x14ac:dyDescent="0.25">
      <c r="A95" s="15" t="s">
        <v>1379</v>
      </c>
      <c r="B95" s="15" t="s">
        <v>1424</v>
      </c>
      <c r="C95" s="15">
        <v>2</v>
      </c>
      <c r="D95" s="62">
        <v>45706</v>
      </c>
      <c r="E95" s="62">
        <v>45886</v>
      </c>
      <c r="F95" s="63">
        <f>ROUND((E95-D95+1)/30,0)*INDEX(DB_Locations!H:H,MATCH(B95,DB_Locations!A:A,0))</f>
        <v>2580</v>
      </c>
      <c r="G95" s="15" t="s">
        <v>67</v>
      </c>
      <c r="H95" s="64">
        <f t="array" ref="H95">IF(C95=1,
    D95-VLOOKUP(B95,DB_Locations!A:D,4,FALSE),
    D95-INDEX(DB_Paiements!$E$2:$E$1000,MATCH(B95&amp;(C95-1),DB_Paiements!$B$2:$B$1000&amp;DB_Paiements!$C$2:$C$1000,0))
)</f>
        <v>0</v>
      </c>
      <c r="I95" s="111"/>
    </row>
    <row r="96" spans="1:9" ht="15.75" x14ac:dyDescent="0.25">
      <c r="A96" s="15" t="s">
        <v>1380</v>
      </c>
      <c r="B96" s="15" t="s">
        <v>1425</v>
      </c>
      <c r="C96" s="15">
        <v>1</v>
      </c>
      <c r="D96" s="62">
        <v>45615</v>
      </c>
      <c r="E96" s="62">
        <v>45811</v>
      </c>
      <c r="F96" s="63">
        <f>ROUND((E96-D96+1)/30,0)*INDEX(DB_Locations!H:H,MATCH(B96,DB_Locations!A:A,0))</f>
        <v>1330</v>
      </c>
      <c r="G96" s="15" t="s">
        <v>67</v>
      </c>
      <c r="H96" s="64">
        <f t="array" ref="H96">IF(C96=1,
    D96-VLOOKUP(B96,DB_Locations!A:D,4,FALSE),
    D96-INDEX(DB_Paiements!$E$2:$E$1000,MATCH(B96&amp;(C96-1),DB_Paiements!$B$2:$B$1000&amp;DB_Paiements!$C$2:$C$1000,0))
)</f>
        <v>0</v>
      </c>
      <c r="I96" s="111"/>
    </row>
    <row r="97" spans="1:9" ht="15.75" x14ac:dyDescent="0.25">
      <c r="A97" s="15" t="s">
        <v>1381</v>
      </c>
      <c r="B97" s="15" t="s">
        <v>1425</v>
      </c>
      <c r="C97" s="15">
        <v>2</v>
      </c>
      <c r="D97" s="62">
        <v>45811</v>
      </c>
      <c r="E97" s="62">
        <v>45840</v>
      </c>
      <c r="F97" s="63">
        <f>ROUND((E97-D97+1)/30,0)*INDEX(DB_Locations!H:H,MATCH(B97,DB_Locations!A:A,0))</f>
        <v>190</v>
      </c>
      <c r="G97" s="15" t="s">
        <v>67</v>
      </c>
      <c r="H97" s="64">
        <f t="array" ref="H97">IF(C97=1,
    D97-VLOOKUP(B97,DB_Locations!A:D,4,FALSE),
    D97-INDEX(DB_Paiements!$E$2:$E$1000,MATCH(B97&amp;(C97-1),DB_Paiements!$B$2:$B$1000&amp;DB_Paiements!$C$2:$C$1000,0))
)</f>
        <v>0</v>
      </c>
      <c r="I97" s="111"/>
    </row>
    <row r="98" spans="1:9" ht="15.75" x14ac:dyDescent="0.25">
      <c r="A98" s="15" t="s">
        <v>1382</v>
      </c>
      <c r="B98" s="15" t="s">
        <v>1426</v>
      </c>
      <c r="C98" s="15">
        <v>1</v>
      </c>
      <c r="D98" s="62">
        <v>45615</v>
      </c>
      <c r="E98" s="62">
        <v>45679</v>
      </c>
      <c r="F98" s="63">
        <f>ROUND((E98-D98+1)/30,0)*INDEX(DB_Locations!H:H,MATCH(B98,DB_Locations!A:A,0))</f>
        <v>860</v>
      </c>
      <c r="G98" s="15" t="s">
        <v>67</v>
      </c>
      <c r="H98" s="64">
        <f t="array" ref="H98">IF(C98=1,
    D98-VLOOKUP(B98,DB_Locations!A:D,4,FALSE),
    D98-INDEX(DB_Paiements!$E$2:$E$1000,MATCH(B98&amp;(C98-1),DB_Paiements!$B$2:$B$1000&amp;DB_Paiements!$C$2:$C$1000,0))
)</f>
        <v>0</v>
      </c>
      <c r="I98" s="111"/>
    </row>
    <row r="99" spans="1:9" ht="15.75" x14ac:dyDescent="0.25">
      <c r="A99" s="15" t="s">
        <v>1383</v>
      </c>
      <c r="B99" s="15" t="s">
        <v>1426</v>
      </c>
      <c r="C99" s="15">
        <v>2</v>
      </c>
      <c r="D99" s="62">
        <v>45679</v>
      </c>
      <c r="E99" s="62">
        <v>45860</v>
      </c>
      <c r="F99" s="63">
        <f>ROUND((E99-D99+1)/30,0)*INDEX(DB_Locations!H:H,MATCH(B99,DB_Locations!A:A,0))</f>
        <v>2580</v>
      </c>
      <c r="G99" s="15" t="s">
        <v>67</v>
      </c>
      <c r="H99" s="64">
        <f t="array" ref="H99">IF(C99=1,
    D99-VLOOKUP(B99,DB_Locations!A:D,4,FALSE),
    D99-INDEX(DB_Paiements!$E$2:$E$1000,MATCH(B99&amp;(C99-1),DB_Paiements!$B$2:$B$1000&amp;DB_Paiements!$C$2:$C$1000,0))
)</f>
        <v>0</v>
      </c>
      <c r="I99" s="111"/>
    </row>
    <row r="100" spans="1:9" ht="15.75" x14ac:dyDescent="0.25">
      <c r="A100" s="15" t="s">
        <v>1384</v>
      </c>
      <c r="B100" s="15" t="s">
        <v>1427</v>
      </c>
      <c r="C100" s="15">
        <v>1</v>
      </c>
      <c r="D100" s="62">
        <v>45672</v>
      </c>
      <c r="E100" s="62">
        <v>45782</v>
      </c>
      <c r="F100" s="63">
        <f>ROUND((E100-D100+1)/30,0)*INDEX(DB_Locations!H:H,MATCH(B100,DB_Locations!A:A,0))</f>
        <v>760</v>
      </c>
      <c r="G100" s="15" t="s">
        <v>67</v>
      </c>
      <c r="H100" s="64">
        <f t="array" ref="H100">IF(C100=1,
    D100-VLOOKUP(B100,DB_Locations!A:D,4,FALSE),
    D100-INDEX(DB_Paiements!$E$2:$E$1000,MATCH(B100&amp;(C100-1),DB_Paiements!$B$2:$B$1000&amp;DB_Paiements!$C$2:$C$1000,0))
)</f>
        <v>0</v>
      </c>
      <c r="I100" s="111"/>
    </row>
    <row r="101" spans="1:9" ht="15.75" x14ac:dyDescent="0.25">
      <c r="A101" s="15" t="s">
        <v>1385</v>
      </c>
      <c r="B101" s="15" t="s">
        <v>1427</v>
      </c>
      <c r="C101" s="15">
        <v>2</v>
      </c>
      <c r="D101" s="62">
        <v>45782</v>
      </c>
      <c r="E101" s="62">
        <v>45873</v>
      </c>
      <c r="F101" s="63">
        <f>ROUND((E101-D101+1)/30,0)*INDEX(DB_Locations!H:H,MATCH(B101,DB_Locations!A:A,0))</f>
        <v>570</v>
      </c>
      <c r="G101" s="15" t="s">
        <v>67</v>
      </c>
      <c r="H101" s="64">
        <f t="array" ref="H101">IF(C101=1,
    D101-VLOOKUP(B101,DB_Locations!A:D,4,FALSE),
    D101-INDEX(DB_Paiements!$E$2:$E$1000,MATCH(B101&amp;(C101-1),DB_Paiements!$B$2:$B$1000&amp;DB_Paiements!$C$2:$C$1000,0))
)</f>
        <v>0</v>
      </c>
      <c r="I101" s="111"/>
    </row>
    <row r="102" spans="1:9" ht="15.75" x14ac:dyDescent="0.25">
      <c r="A102" s="15" t="s">
        <v>1386</v>
      </c>
      <c r="B102" s="15" t="s">
        <v>1428</v>
      </c>
      <c r="C102" s="15">
        <v>1</v>
      </c>
      <c r="D102" s="62">
        <v>45672</v>
      </c>
      <c r="E102" s="62">
        <v>45783</v>
      </c>
      <c r="F102" s="63">
        <f>ROUND((E102-D102+1)/30,0)*INDEX(DB_Locations!H:H,MATCH(B102,DB_Locations!A:A,0))</f>
        <v>1720</v>
      </c>
      <c r="G102" s="15" t="s">
        <v>67</v>
      </c>
      <c r="H102" s="64">
        <f t="array" ref="H102">IF(C102=1,
    D102-VLOOKUP(B102,DB_Locations!A:D,4,FALSE),
    D102-INDEX(DB_Paiements!$E$2:$E$1000,MATCH(B102&amp;(C102-1),DB_Paiements!$B$2:$B$1000&amp;DB_Paiements!$C$2:$C$1000,0))
)</f>
        <v>0</v>
      </c>
      <c r="I102" s="111"/>
    </row>
    <row r="103" spans="1:9" ht="15.75" x14ac:dyDescent="0.25">
      <c r="A103" s="15" t="s">
        <v>1387</v>
      </c>
      <c r="B103" s="15" t="s">
        <v>1428</v>
      </c>
      <c r="C103" s="15">
        <v>2</v>
      </c>
      <c r="D103" s="62">
        <v>45783</v>
      </c>
      <c r="E103" s="62">
        <v>45966</v>
      </c>
      <c r="F103" s="63">
        <f>ROUND((E103-D103+1)/30,0)*INDEX(DB_Locations!H:H,MATCH(B103,DB_Locations!A:A,0))</f>
        <v>2580</v>
      </c>
      <c r="G103" s="15" t="s">
        <v>67</v>
      </c>
      <c r="H103" s="64">
        <f t="array" ref="H103">IF(C103=1,
    D103-VLOOKUP(B103,DB_Locations!A:D,4,FALSE),
    D103-INDEX(DB_Paiements!$E$2:$E$1000,MATCH(B103&amp;(C103-1),DB_Paiements!$B$2:$B$1000&amp;DB_Paiements!$C$2:$C$1000,0))
)</f>
        <v>0</v>
      </c>
      <c r="I103" s="111"/>
    </row>
    <row r="104" spans="1:9" ht="15.75" x14ac:dyDescent="0.25">
      <c r="A104" s="15" t="s">
        <v>1388</v>
      </c>
      <c r="B104" s="15" t="s">
        <v>1532</v>
      </c>
      <c r="C104" s="15">
        <v>1</v>
      </c>
      <c r="D104" s="62">
        <f ca="1">TODAY()</f>
        <v>45895</v>
      </c>
      <c r="E104" s="62">
        <v>45891</v>
      </c>
      <c r="F104" s="63">
        <f ca="1">ROUND((E104-D104+1)/30,0)*INDEX(DB_Locations!H:H,MATCH(B104,DB_Locations!A:A,0))</f>
        <v>0</v>
      </c>
      <c r="G104" s="15" t="s">
        <v>67</v>
      </c>
      <c r="H104" s="64">
        <f t="array" aca="1" ref="H104" ca="1">IF(C104=1,
    D104-VLOOKUP(B104,DB_Locations!A:D,4,FALSE),
    D104-INDEX(DB_Paiements!$E$2:$E$1000,MATCH(B104&amp;(C104-1),DB_Paiements!$B$2:$B$1000&amp;DB_Paiements!$C$2:$C$1000,0))
)</f>
        <v>4</v>
      </c>
      <c r="I104" s="111"/>
    </row>
    <row r="105" spans="1:9" ht="15.75" x14ac:dyDescent="0.25">
      <c r="A105" s="15" t="s">
        <v>1389</v>
      </c>
      <c r="B105" s="15" t="s">
        <v>1429</v>
      </c>
      <c r="C105" s="15">
        <v>1</v>
      </c>
      <c r="D105" s="62">
        <v>45796</v>
      </c>
      <c r="E105" s="62">
        <v>45887</v>
      </c>
      <c r="F105" s="63">
        <f>ROUND((E105-D105+1)/30,0)*INDEX(DB_Locations!H:H,MATCH(B105,DB_Locations!A:A,0))</f>
        <v>570</v>
      </c>
      <c r="G105" s="15" t="s">
        <v>67</v>
      </c>
      <c r="H105" s="64">
        <f t="array" ref="H105">IF(C105=1,
    D105-VLOOKUP(B105,DB_Locations!A:D,4,FALSE),
    D105-INDEX(DB_Paiements!$E$2:$E$1000,MATCH(B105&amp;(C105-1),DB_Paiements!$B$2:$B$1000&amp;DB_Paiements!$C$2:$C$1000,0))
)</f>
        <v>110</v>
      </c>
      <c r="I105" s="111"/>
    </row>
    <row r="106" spans="1:9" ht="15.75" x14ac:dyDescent="0.25">
      <c r="A106" s="15" t="s">
        <v>1390</v>
      </c>
      <c r="B106" s="15" t="s">
        <v>1430</v>
      </c>
      <c r="C106" s="15">
        <v>1</v>
      </c>
      <c r="D106" s="62">
        <v>45687</v>
      </c>
      <c r="E106" s="62">
        <v>45776</v>
      </c>
      <c r="F106" s="63">
        <f>ROUND((E106-D106+1)/30,0)*INDEX(DB_Locations!H:H,MATCH(B106,DB_Locations!A:A,0))</f>
        <v>1290</v>
      </c>
      <c r="G106" s="15" t="s">
        <v>67</v>
      </c>
      <c r="H106" s="64">
        <f t="array" ref="H106">IF(C106=1,
    D106-VLOOKUP(B106,DB_Locations!A:D,4,FALSE),
    D106-INDEX(DB_Paiements!$E$2:$E$1000,MATCH(B106&amp;(C106-1),DB_Paiements!$B$2:$B$1000&amp;DB_Paiements!$C$2:$C$1000,0))
)</f>
        <v>1</v>
      </c>
      <c r="I106" s="111"/>
    </row>
    <row r="107" spans="1:9" ht="15.75" x14ac:dyDescent="0.25">
      <c r="A107" s="15" t="s">
        <v>1391</v>
      </c>
      <c r="B107" s="15" t="s">
        <v>1533</v>
      </c>
      <c r="C107" s="15">
        <v>1</v>
      </c>
      <c r="D107" s="62">
        <f ca="1">TODAY()</f>
        <v>45895</v>
      </c>
      <c r="E107" s="62">
        <v>45891</v>
      </c>
      <c r="F107" s="63" t="e">
        <f ca="1">ROUND((E107-D107+1)/30,0)*INDEX(DB_Locations!H:H,MATCH(B107,DB_Locations!A:A,0))</f>
        <v>#VALUE!</v>
      </c>
      <c r="G107" s="15" t="s">
        <v>2506</v>
      </c>
      <c r="H107" s="64">
        <f t="array" aca="1" ref="H107" ca="1">IF(C107=1,
    D107-VLOOKUP(B107,DB_Locations!A:D,4,FALSE),
    D107-INDEX(DB_Paiements!$E$2:$E$1000,MATCH(B107&amp;(C107-1),DB_Paiements!$B$2:$B$1000&amp;DB_Paiements!$C$2:$C$1000,0))
)</f>
        <v>4</v>
      </c>
      <c r="I107" s="111"/>
    </row>
    <row r="108" spans="1:9" ht="15.75" x14ac:dyDescent="0.25">
      <c r="A108" s="15" t="s">
        <v>1392</v>
      </c>
      <c r="B108" s="15"/>
      <c r="C108" s="15"/>
      <c r="D108" s="62"/>
      <c r="E108" s="62"/>
      <c r="F108" s="63" t="e">
        <f>ROUND((E108-D108+1)/30,0)*INDEX(DB_Locations!H:H,MATCH(B108,DB_Locations!A:A,0))</f>
        <v>#N/A</v>
      </c>
      <c r="G108" s="15"/>
      <c r="H108" s="64" t="e">
        <f t="array" ref="H108">IF(C108=1,
    D108-VLOOKUP(B108,DB_Locations!A:D,4,FALSE),
    D108-INDEX(DB_Paiements!$E$2:$E$1000,MATCH(B108&amp;(C108-1),DB_Paiements!$B$2:$B$1000&amp;DB_Paiements!$C$2:$C$1000,0))
)</f>
        <v>#N/A</v>
      </c>
      <c r="I108" s="111"/>
    </row>
    <row r="109" spans="1:9" ht="15.75" x14ac:dyDescent="0.25">
      <c r="A109" s="15" t="s">
        <v>1393</v>
      </c>
      <c r="B109" s="15" t="s">
        <v>1431</v>
      </c>
      <c r="C109" s="15">
        <v>1</v>
      </c>
      <c r="D109" s="62">
        <v>45867</v>
      </c>
      <c r="E109" s="62">
        <v>45897</v>
      </c>
      <c r="F109" s="63">
        <f>ROUND((E109-D109+1)/30,0)*INDEX(DB_Locations!H:H,MATCH(B109,DB_Locations!A:A,0))</f>
        <v>250</v>
      </c>
      <c r="G109" s="15" t="s">
        <v>626</v>
      </c>
      <c r="H109" s="64">
        <f t="array" ref="H109">IF(C109=1,
    D109-VLOOKUP(B109,DB_Locations!A:D,4,FALSE),
    D109-INDEX(DB_Paiements!$E$2:$E$1000,MATCH(B109&amp;(C109-1),DB_Paiements!$B$2:$B$1000&amp;DB_Paiements!$C$2:$C$1000,0))
)</f>
        <v>0</v>
      </c>
      <c r="I109" s="111"/>
    </row>
    <row r="110" spans="1:9" ht="15.75" x14ac:dyDescent="0.25">
      <c r="A110" s="15" t="s">
        <v>1394</v>
      </c>
      <c r="B110" s="15"/>
      <c r="C110" s="15"/>
      <c r="D110" s="62"/>
      <c r="E110" s="62"/>
      <c r="F110" s="63" t="e">
        <f>ROUND((E110-D110+1)/30,0)*INDEX(DB_Locations!H:H,MATCH(B110,DB_Locations!A:A,0))</f>
        <v>#N/A</v>
      </c>
      <c r="G110" s="15"/>
      <c r="H110" s="64" t="e">
        <f t="array" ref="H110">IF(C110=1,
    D110-VLOOKUP(B110,DB_Locations!A:D,4,FALSE),
    D110-INDEX(DB_Paiements!$E$2:$E$1000,MATCH(B110&amp;(C110-1),DB_Paiements!$B$2:$B$1000&amp;DB_Paiements!$C$2:$C$1000,0))
)</f>
        <v>#N/A</v>
      </c>
      <c r="I110" s="111"/>
    </row>
    <row r="111" spans="1:9" ht="15.75" x14ac:dyDescent="0.25">
      <c r="A111" s="15" t="s">
        <v>1395</v>
      </c>
      <c r="B111" s="15" t="s">
        <v>1432</v>
      </c>
      <c r="C111" s="15">
        <v>1</v>
      </c>
      <c r="D111" s="62">
        <v>45877</v>
      </c>
      <c r="E111" s="62">
        <v>45907</v>
      </c>
      <c r="F111" s="63">
        <f>ROUND((E111-D111+1)/30,0)*INDEX(DB_Locations!H:H,MATCH(B111,DB_Locations!A:A,0))</f>
        <v>450</v>
      </c>
      <c r="G111" s="15" t="s">
        <v>626</v>
      </c>
      <c r="H111" s="64">
        <f t="array" ref="H111">IF(C111=1,
    D111-VLOOKUP(B111,DB_Locations!A:D,4,FALSE),
    D111-INDEX(DB_Paiements!$E$2:$E$1000,MATCH(B111&amp;(C111-1),DB_Paiements!$B$2:$B$1000&amp;DB_Paiements!$C$2:$C$1000,0))
)</f>
        <v>0</v>
      </c>
      <c r="I111" s="111"/>
    </row>
    <row r="112" spans="1:9" ht="15.75" x14ac:dyDescent="0.25">
      <c r="A112" s="15" t="s">
        <v>1396</v>
      </c>
      <c r="B112" s="15" t="s">
        <v>1433</v>
      </c>
      <c r="C112" s="15">
        <v>1</v>
      </c>
      <c r="D112" s="62">
        <v>45694</v>
      </c>
      <c r="E112" s="62">
        <v>45813</v>
      </c>
      <c r="F112" s="63">
        <f>ROUND((E112-D112+1)/30,0)*INDEX(DB_Locations!H:H,MATCH(B112,DB_Locations!A:A,0))</f>
        <v>760</v>
      </c>
      <c r="G112" s="15" t="s">
        <v>67</v>
      </c>
      <c r="H112" s="64">
        <f t="array" ref="H112">IF(C112=1,
    D112-VLOOKUP(B112,DB_Locations!A:D,4,FALSE),
    D112-INDEX(DB_Paiements!$E$2:$E$1000,MATCH(B112&amp;(C112-1),DB_Paiements!$B$2:$B$1000&amp;DB_Paiements!$C$2:$C$1000,0))
)</f>
        <v>0</v>
      </c>
      <c r="I112" s="111"/>
    </row>
    <row r="113" spans="1:9" ht="15.75" x14ac:dyDescent="0.25">
      <c r="A113" s="15" t="s">
        <v>1397</v>
      </c>
      <c r="B113" s="15" t="s">
        <v>1433</v>
      </c>
      <c r="C113" s="15">
        <v>2</v>
      </c>
      <c r="D113" s="62">
        <v>45813</v>
      </c>
      <c r="E113" s="62">
        <v>45904</v>
      </c>
      <c r="F113" s="63">
        <f>ROUND((E113-D113+1)/30,0)*INDEX(DB_Locations!H:H,MATCH(B113,DB_Locations!A:A,0))</f>
        <v>570</v>
      </c>
      <c r="G113" s="15" t="s">
        <v>947</v>
      </c>
      <c r="H113" s="64">
        <f t="array" ref="H113">IF(C113=1,
    D113-VLOOKUP(B113,DB_Locations!A:D,4,FALSE),
    D113-INDEX(DB_Paiements!$E$2:$E$1000,MATCH(B113&amp;(C113-1),DB_Paiements!$B$2:$B$1000&amp;DB_Paiements!$C$2:$C$1000,0))
)</f>
        <v>0</v>
      </c>
      <c r="I113" s="111"/>
    </row>
    <row r="114" spans="1:9" ht="15.75" x14ac:dyDescent="0.25">
      <c r="A114" s="15" t="s">
        <v>1398</v>
      </c>
      <c r="B114" s="15" t="s">
        <v>1434</v>
      </c>
      <c r="C114" s="15">
        <v>1</v>
      </c>
      <c r="D114" s="62">
        <v>45700</v>
      </c>
      <c r="E114" s="62">
        <v>45824</v>
      </c>
      <c r="F114" s="63">
        <f>ROUND((E114-D114+1)/30,0)*INDEX(DB_Locations!H:H,MATCH(B114,DB_Locations!A:A,0))</f>
        <v>760</v>
      </c>
      <c r="G114" s="15" t="s">
        <v>67</v>
      </c>
      <c r="H114" s="64">
        <f t="array" ref="H114">IF(C114=1,
    D114-VLOOKUP(B114,DB_Locations!A:D,4,FALSE),
    D114-INDEX(DB_Paiements!$E$2:$E$1000,MATCH(B114&amp;(C114-1),DB_Paiements!$B$2:$B$1000&amp;DB_Paiements!$C$2:$C$1000,0))
)</f>
        <v>0</v>
      </c>
      <c r="I114" s="111"/>
    </row>
    <row r="115" spans="1:9" ht="15.75" x14ac:dyDescent="0.25">
      <c r="A115" s="15" t="s">
        <v>1399</v>
      </c>
      <c r="B115" s="15" t="s">
        <v>1434</v>
      </c>
      <c r="C115" s="15">
        <v>2</v>
      </c>
      <c r="D115" s="62">
        <v>45824</v>
      </c>
      <c r="E115" s="62">
        <v>45915</v>
      </c>
      <c r="F115" s="63">
        <f>ROUND((E115-D115+1)/30,0)*INDEX(DB_Locations!H:H,MATCH(B115,DB_Locations!A:A,0))</f>
        <v>570</v>
      </c>
      <c r="G115" s="15" t="s">
        <v>67</v>
      </c>
      <c r="H115" s="64">
        <f t="array" ref="H115">IF(C115=1,
    D115-VLOOKUP(B115,DB_Locations!A:D,4,FALSE),
    D115-INDEX(DB_Paiements!$E$2:$E$1000,MATCH(B115&amp;(C115-1),DB_Paiements!$B$2:$B$1000&amp;DB_Paiements!$C$2:$C$1000,0))
)</f>
        <v>0</v>
      </c>
      <c r="I115" s="111"/>
    </row>
    <row r="116" spans="1:9" ht="15.75" x14ac:dyDescent="0.25">
      <c r="A116" s="15" t="s">
        <v>1400</v>
      </c>
      <c r="B116" s="65" t="s">
        <v>1435</v>
      </c>
      <c r="C116" s="65">
        <v>1</v>
      </c>
      <c r="D116" s="66">
        <v>45672</v>
      </c>
      <c r="E116" s="66">
        <v>45824</v>
      </c>
      <c r="F116" s="67">
        <f>ROUND((E116-D116+1)/30,0)*INDEX(DB_Locations!H:H,MATCH(B116,DB_Locations!A:A,0))</f>
        <v>2150</v>
      </c>
      <c r="G116" s="65" t="s">
        <v>67</v>
      </c>
      <c r="H116" s="90">
        <f t="array" ref="H116">IF(C116=1,
    D116-VLOOKUP(B116,DB_Locations!A:D,4,FALSE),
    D116-INDEX(DB_Paiements!$E$2:$E$1000,MATCH(B116&amp;(C116-1),DB_Paiements!$B$2:$B$1000&amp;DB_Paiements!$C$2:$C$1000,0))
)</f>
        <v>0</v>
      </c>
      <c r="I116" s="111"/>
    </row>
    <row r="117" spans="1:9" ht="15.75" x14ac:dyDescent="0.25">
      <c r="A117" s="64" t="s">
        <v>1631</v>
      </c>
      <c r="B117" s="15" t="s">
        <v>1435</v>
      </c>
      <c r="C117" s="15">
        <v>2</v>
      </c>
      <c r="D117" s="62">
        <v>45824</v>
      </c>
      <c r="E117" s="62">
        <v>46006</v>
      </c>
      <c r="F117" s="67">
        <f>ROUND((E117-D117+1)/30,0)*INDEX(DB_Locations!H:H,MATCH(B117,DB_Locations!A:A,0))</f>
        <v>2580</v>
      </c>
      <c r="G117" s="15" t="s">
        <v>67</v>
      </c>
      <c r="H117" s="64">
        <f t="array" ref="H117">IF(C117=1,
    D117-VLOOKUP(B117,DB_Locations!A:D,4,FALSE),
    D117-INDEX(DB_Paiements!$E$2:$E$1000,MATCH(B117&amp;(C117-1),DB_Paiements!$B$2:$B$1000&amp;DB_Paiements!$C$2:$C$1000,0))
)</f>
        <v>0</v>
      </c>
      <c r="I117" s="168"/>
    </row>
    <row r="118" spans="1:9" ht="15.75" x14ac:dyDescent="0.25">
      <c r="A118" s="64" t="s">
        <v>1632</v>
      </c>
      <c r="B118" s="15" t="s">
        <v>1436</v>
      </c>
      <c r="C118" s="15">
        <v>1</v>
      </c>
      <c r="D118" s="62">
        <v>45708</v>
      </c>
      <c r="E118" s="62">
        <v>45767</v>
      </c>
      <c r="F118" s="67">
        <f>ROUND((E118-D118+1)/30,0)*INDEX(DB_Locations!H:H,MATCH(B118,DB_Locations!A:A,0))</f>
        <v>380</v>
      </c>
      <c r="G118" s="15" t="s">
        <v>67</v>
      </c>
      <c r="H118" s="64">
        <f t="array" ref="H118">IF(C118=1,
    D118-VLOOKUP(B118,DB_Locations!A:D,4,FALSE),
    D118-INDEX(DB_Paiements!$E$2:$E$1000,MATCH(B118&amp;(C118-1),DB_Paiements!$B$2:$B$1000&amp;DB_Paiements!$C$2:$C$1000,0))
)</f>
        <v>0</v>
      </c>
      <c r="I118" s="168"/>
    </row>
    <row r="119" spans="1:9" ht="15.75" x14ac:dyDescent="0.25">
      <c r="A119" s="64" t="s">
        <v>1633</v>
      </c>
      <c r="B119" s="15" t="s">
        <v>1436</v>
      </c>
      <c r="C119" s="15">
        <v>2</v>
      </c>
      <c r="D119" s="62">
        <v>45767</v>
      </c>
      <c r="E119" s="62">
        <v>45857</v>
      </c>
      <c r="F119" s="67">
        <f>ROUND((E119-D119+1)/30,0)*INDEX(DB_Locations!H:H,MATCH(B119,DB_Locations!A:A,0))</f>
        <v>570</v>
      </c>
      <c r="G119" s="15" t="s">
        <v>67</v>
      </c>
      <c r="H119" s="64">
        <f t="array" ref="H119">IF(C119=1,
    D119-VLOOKUP(B119,DB_Locations!A:D,4,FALSE),
    D119-INDEX(DB_Paiements!$E$2:$E$1000,MATCH(B119&amp;(C119-1),DB_Paiements!$B$2:$B$1000&amp;DB_Paiements!$C$2:$C$1000,0))
)</f>
        <v>0</v>
      </c>
      <c r="I119" s="168"/>
    </row>
    <row r="120" spans="1:9" ht="15.75" x14ac:dyDescent="0.25">
      <c r="A120" s="64" t="s">
        <v>1634</v>
      </c>
      <c r="B120" s="15" t="s">
        <v>1437</v>
      </c>
      <c r="C120" s="15">
        <v>1</v>
      </c>
      <c r="D120" s="62">
        <v>45709</v>
      </c>
      <c r="E120" s="62">
        <v>45806</v>
      </c>
      <c r="F120" s="67">
        <f>ROUND((E120-D120+1)/30,0)*INDEX(DB_Locations!H:H,MATCH(B120,DB_Locations!A:A,0))</f>
        <v>570</v>
      </c>
      <c r="G120" s="15" t="s">
        <v>67</v>
      </c>
      <c r="H120" s="64">
        <f t="array" ref="H120">IF(C120=1,
    D120-VLOOKUP(B120,DB_Locations!A:D,4,FALSE),
    D120-INDEX(DB_Paiements!$E$2:$E$1000,MATCH(B120&amp;(C120-1),DB_Paiements!$B$2:$B$1000&amp;DB_Paiements!$C$2:$C$1000,0))
)</f>
        <v>0</v>
      </c>
      <c r="I120" s="168"/>
    </row>
    <row r="121" spans="1:9" ht="15.75" x14ac:dyDescent="0.25">
      <c r="A121" s="64" t="s">
        <v>1635</v>
      </c>
      <c r="B121" s="15" t="s">
        <v>1437</v>
      </c>
      <c r="C121" s="15">
        <v>2</v>
      </c>
      <c r="D121" s="62">
        <v>45806</v>
      </c>
      <c r="E121" s="62">
        <v>45897</v>
      </c>
      <c r="F121" s="67">
        <f>ROUND((E121-D121+1)/30,0)*INDEX(DB_Locations!H:H,MATCH(B121,DB_Locations!A:A,0))</f>
        <v>570</v>
      </c>
      <c r="G121" s="15" t="s">
        <v>67</v>
      </c>
      <c r="H121" s="64">
        <f t="array" ref="H121">IF(C121=1,
    D121-VLOOKUP(B121,DB_Locations!A:D,4,FALSE),
    D121-INDEX(DB_Paiements!$E$2:$E$1000,MATCH(B121&amp;(C121-1),DB_Paiements!$B$2:$B$1000&amp;DB_Paiements!$C$2:$C$1000,0))
)</f>
        <v>0</v>
      </c>
      <c r="I121" s="168"/>
    </row>
    <row r="122" spans="1:9" ht="15.75" x14ac:dyDescent="0.25">
      <c r="A122" s="64" t="s">
        <v>1636</v>
      </c>
      <c r="B122" s="15"/>
      <c r="C122" s="15"/>
      <c r="D122" s="62"/>
      <c r="E122" s="62"/>
      <c r="F122" s="67" t="e">
        <f>ROUND((E122-D122+1)/30,0)*INDEX(DB_Locations!H:H,MATCH(B122,DB_Locations!A:A,0))</f>
        <v>#N/A</v>
      </c>
      <c r="G122" s="15"/>
      <c r="H122" s="64" t="e">
        <f t="array" ref="H122">IF(C122=1,
    D122-VLOOKUP(B122,DB_Locations!A:D,4,FALSE),
    D122-INDEX(DB_Paiements!$E$2:$E$1000,MATCH(B122&amp;(C122-1),DB_Paiements!$B$2:$B$1000&amp;DB_Paiements!$C$2:$C$1000,0))
)</f>
        <v>#N/A</v>
      </c>
      <c r="I122" s="168"/>
    </row>
    <row r="123" spans="1:9" ht="15.75" x14ac:dyDescent="0.25">
      <c r="A123" s="64" t="s">
        <v>1637</v>
      </c>
      <c r="B123" s="15" t="s">
        <v>1438</v>
      </c>
      <c r="C123" s="15">
        <v>1</v>
      </c>
      <c r="D123" s="62">
        <v>45796</v>
      </c>
      <c r="E123" s="62">
        <v>45887</v>
      </c>
      <c r="F123" s="67">
        <f>ROUND((E123-D123+1)/30,0)*INDEX(DB_Locations!H:H,MATCH(B123,DB_Locations!A:A,0))</f>
        <v>1290</v>
      </c>
      <c r="G123" s="15" t="s">
        <v>67</v>
      </c>
      <c r="H123" s="64">
        <f t="array" ref="H123">IF(C123=1,
    D123-VLOOKUP(B123,DB_Locations!A:D,4,FALSE),
    D123-INDEX(DB_Paiements!$E$2:$E$1000,MATCH(B123&amp;(C123-1),DB_Paiements!$B$2:$B$1000&amp;DB_Paiements!$C$2:$C$1000,0))
)</f>
        <v>3</v>
      </c>
      <c r="I123" s="168"/>
    </row>
    <row r="124" spans="1:9" ht="15.75" x14ac:dyDescent="0.25">
      <c r="A124" s="64" t="s">
        <v>1638</v>
      </c>
      <c r="B124" s="15" t="s">
        <v>1439</v>
      </c>
      <c r="C124" s="15">
        <v>1</v>
      </c>
      <c r="D124" s="62">
        <v>45715</v>
      </c>
      <c r="E124" s="62">
        <v>45865</v>
      </c>
      <c r="F124" s="67">
        <f>ROUND((E124-D124+1)/30,0)*INDEX(DB_Locations!H:H,MATCH(B124,DB_Locations!A:A,0))</f>
        <v>950</v>
      </c>
      <c r="G124" s="15" t="s">
        <v>626</v>
      </c>
      <c r="H124" s="64">
        <f t="array" ref="H124">IF(C124=1,
    D124-VLOOKUP(B124,DB_Locations!A:D,4,FALSE),
    D124-INDEX(DB_Paiements!$E$2:$E$1000,MATCH(B124&amp;(C124-1),DB_Paiements!$B$2:$B$1000&amp;DB_Paiements!$C$2:$C$1000,0))
)</f>
        <v>0</v>
      </c>
      <c r="I124" s="168"/>
    </row>
    <row r="125" spans="1:9" ht="15.75" x14ac:dyDescent="0.25">
      <c r="A125" s="64" t="s">
        <v>1639</v>
      </c>
      <c r="B125" s="15" t="s">
        <v>1439</v>
      </c>
      <c r="C125" s="15">
        <v>2</v>
      </c>
      <c r="D125" s="62">
        <v>45865</v>
      </c>
      <c r="E125" s="62">
        <v>45896</v>
      </c>
      <c r="F125" s="67">
        <f>ROUND((E125-D125+1)/30,0)*INDEX(DB_Locations!H:H,MATCH(B125,DB_Locations!A:A,0))</f>
        <v>190</v>
      </c>
      <c r="G125" s="15" t="s">
        <v>626</v>
      </c>
      <c r="H125" s="64">
        <f t="array" ref="H125">IF(C125=1,
    D125-VLOOKUP(B125,DB_Locations!A:D,4,FALSE),
    D125-INDEX(DB_Paiements!$E$2:$E$1000,MATCH(B125&amp;(C125-1),DB_Paiements!$B$2:$B$1000&amp;DB_Paiements!$C$2:$C$1000,0))
)</f>
        <v>0</v>
      </c>
      <c r="I125" s="168"/>
    </row>
    <row r="126" spans="1:9" ht="15.75" x14ac:dyDescent="0.25">
      <c r="A126" s="64" t="s">
        <v>1640</v>
      </c>
      <c r="B126" s="15" t="s">
        <v>1440</v>
      </c>
      <c r="C126" s="15">
        <v>1</v>
      </c>
      <c r="D126" s="62">
        <v>45728</v>
      </c>
      <c r="E126" s="62">
        <v>45776</v>
      </c>
      <c r="F126" s="67">
        <f>ROUND((E126-D126+1)/30,0)*INDEX(DB_Locations!H:H,MATCH(B126,DB_Locations!A:A,0))</f>
        <v>380</v>
      </c>
      <c r="G126" s="15" t="s">
        <v>67</v>
      </c>
      <c r="H126" s="64">
        <f t="array" ref="H126">IF(C126=1,
    D126-VLOOKUP(B126,DB_Locations!A:D,4,FALSE),
    D126-INDEX(DB_Paiements!$E$2:$E$1000,MATCH(B126&amp;(C126-1),DB_Paiements!$B$2:$B$1000&amp;DB_Paiements!$C$2:$C$1000,0))
)</f>
        <v>0</v>
      </c>
      <c r="I126" s="168"/>
    </row>
    <row r="127" spans="1:9" ht="15.75" x14ac:dyDescent="0.25">
      <c r="A127" s="64" t="s">
        <v>1641</v>
      </c>
      <c r="B127" s="15" t="s">
        <v>1440</v>
      </c>
      <c r="C127" s="15">
        <v>2</v>
      </c>
      <c r="D127" s="62">
        <v>45776</v>
      </c>
      <c r="E127" s="62">
        <v>45866</v>
      </c>
      <c r="F127" s="67">
        <f>ROUND((E127-D127+1)/30,0)*INDEX(DB_Locations!H:H,MATCH(B127,DB_Locations!A:A,0))</f>
        <v>570</v>
      </c>
      <c r="G127" s="15" t="s">
        <v>67</v>
      </c>
      <c r="H127" s="64">
        <f t="array" ref="H127">IF(C127=1,
    D127-VLOOKUP(B127,DB_Locations!A:D,4,FALSE),
    D127-INDEX(DB_Paiements!$E$2:$E$1000,MATCH(B127&amp;(C127-1),DB_Paiements!$B$2:$B$1000&amp;DB_Paiements!$C$2:$C$1000,0))
)</f>
        <v>0</v>
      </c>
      <c r="I127" s="168"/>
    </row>
    <row r="128" spans="1:9" ht="15.75" x14ac:dyDescent="0.25">
      <c r="A128" s="64" t="s">
        <v>1642</v>
      </c>
      <c r="B128" s="15" t="s">
        <v>1441</v>
      </c>
      <c r="C128" s="15">
        <v>1</v>
      </c>
      <c r="D128" s="62">
        <v>45728</v>
      </c>
      <c r="E128" s="62">
        <v>45751</v>
      </c>
      <c r="F128" s="67">
        <f>ROUND((E128-D128+1)/30,0)*INDEX(DB_Locations!H:H,MATCH(B128,DB_Locations!A:A,0))</f>
        <v>430</v>
      </c>
      <c r="G128" s="15" t="s">
        <v>67</v>
      </c>
      <c r="H128" s="64">
        <f t="array" ref="H128">IF(C128=1,
    D128-VLOOKUP(B128,DB_Locations!A:D,4,FALSE),
    D128-INDEX(DB_Paiements!$E$2:$E$1000,MATCH(B128&amp;(C128-1),DB_Paiements!$B$2:$B$1000&amp;DB_Paiements!$C$2:$C$1000,0))
)</f>
        <v>0</v>
      </c>
      <c r="I128" s="168"/>
    </row>
    <row r="129" spans="1:9" ht="15.75" x14ac:dyDescent="0.25">
      <c r="A129" s="64" t="s">
        <v>1643</v>
      </c>
      <c r="B129" s="15" t="s">
        <v>1441</v>
      </c>
      <c r="C129" s="15">
        <v>2</v>
      </c>
      <c r="D129" s="62">
        <v>45751</v>
      </c>
      <c r="E129" s="62">
        <v>45933</v>
      </c>
      <c r="F129" s="67">
        <f>ROUND((E129-D129+1)/30,0)*INDEX(DB_Locations!H:H,MATCH(B129,DB_Locations!A:A,0))</f>
        <v>2580</v>
      </c>
      <c r="G129" s="15" t="s">
        <v>67</v>
      </c>
      <c r="H129" s="64">
        <f t="array" ref="H129">IF(C129=1,
    D129-VLOOKUP(B129,DB_Locations!A:D,4,FALSE),
    D129-INDEX(DB_Paiements!$E$2:$E$1000,MATCH(B129&amp;(C129-1),DB_Paiements!$B$2:$B$1000&amp;DB_Paiements!$C$2:$C$1000,0))
)</f>
        <v>0</v>
      </c>
      <c r="I129" s="168"/>
    </row>
    <row r="130" spans="1:9" ht="15.75" x14ac:dyDescent="0.25">
      <c r="A130" s="64" t="s">
        <v>1644</v>
      </c>
      <c r="B130" s="15"/>
      <c r="C130" s="15"/>
      <c r="D130" s="62"/>
      <c r="E130" s="62"/>
      <c r="F130" s="67" t="e">
        <f>ROUND((E130-D130+1)/30,0)*INDEX(DB_Locations!H:H,MATCH(B130,DB_Locations!A:A,0))</f>
        <v>#N/A</v>
      </c>
      <c r="G130" s="15"/>
      <c r="H130" s="64" t="e">
        <f t="array" ref="H130">IF(C130=1,
    D130-VLOOKUP(B130,DB_Locations!A:D,4,FALSE),
    D130-INDEX(DB_Paiements!$E$2:$E$1000,MATCH(B130&amp;(C130-1),DB_Paiements!$B$2:$B$1000&amp;DB_Paiements!$C$2:$C$1000,0))
)</f>
        <v>#N/A</v>
      </c>
      <c r="I130" s="168"/>
    </row>
    <row r="131" spans="1:9" ht="15.75" x14ac:dyDescent="0.25">
      <c r="A131" s="64" t="s">
        <v>1645</v>
      </c>
      <c r="B131" s="15" t="s">
        <v>1442</v>
      </c>
      <c r="C131" s="15">
        <v>1</v>
      </c>
      <c r="D131" s="62">
        <v>45740</v>
      </c>
      <c r="E131" s="62">
        <v>45831</v>
      </c>
      <c r="F131" s="67">
        <f>ROUND((E131-D131+1)/30,0)*INDEX(DB_Locations!H:H,MATCH(B131,DB_Locations!A:A,0))</f>
        <v>570</v>
      </c>
      <c r="G131" s="15" t="s">
        <v>67</v>
      </c>
      <c r="H131" s="64">
        <f t="array" ref="H131">IF(C131=1,
    D131-VLOOKUP(B131,DB_Locations!A:D,4,FALSE),
    D131-INDEX(DB_Paiements!$E$2:$E$1000,MATCH(B131&amp;(C131-1),DB_Paiements!$B$2:$B$1000&amp;DB_Paiements!$C$2:$C$1000,0))
)</f>
        <v>10</v>
      </c>
      <c r="I131" s="168"/>
    </row>
    <row r="132" spans="1:9" ht="15.75" x14ac:dyDescent="0.25">
      <c r="A132" s="64" t="s">
        <v>1646</v>
      </c>
      <c r="B132" s="15"/>
      <c r="C132" s="15"/>
      <c r="D132" s="62"/>
      <c r="E132" s="62"/>
      <c r="F132" s="67" t="e">
        <f>ROUND((E132-D132+1)/30,0)*INDEX(DB_Locations!H:H,MATCH(B132,DB_Locations!A:A,0))</f>
        <v>#N/A</v>
      </c>
      <c r="G132" s="15"/>
      <c r="H132" s="64" t="e">
        <f t="array" ref="H132">IF(C132=1,
    D132-VLOOKUP(B132,DB_Locations!A:D,4,FALSE),
    D132-INDEX(DB_Paiements!$E$2:$E$1000,MATCH(B132&amp;(C132-1),DB_Paiements!$B$2:$B$1000&amp;DB_Paiements!$C$2:$C$1000,0))
)</f>
        <v>#N/A</v>
      </c>
      <c r="I132" s="168"/>
    </row>
    <row r="133" spans="1:9" ht="15.75" x14ac:dyDescent="0.25">
      <c r="A133" s="64" t="s">
        <v>1647</v>
      </c>
      <c r="B133" s="15" t="s">
        <v>1443</v>
      </c>
      <c r="C133" s="15">
        <v>1</v>
      </c>
      <c r="D133" s="62">
        <v>45740</v>
      </c>
      <c r="E133" s="62">
        <v>45923</v>
      </c>
      <c r="F133" s="67">
        <f>ROUND((E133-D133+1)/30,0)*INDEX(DB_Locations!H:H,MATCH(B133,DB_Locations!A:A,0))</f>
        <v>2580</v>
      </c>
      <c r="G133" s="15" t="s">
        <v>67</v>
      </c>
      <c r="H133" s="64">
        <f t="array" ref="H133">IF(C133=1,
    D133-VLOOKUP(B133,DB_Locations!A:D,4,FALSE),
    D133-INDEX(DB_Paiements!$E$2:$E$1000,MATCH(B133&amp;(C133-1),DB_Paiements!$B$2:$B$1000&amp;DB_Paiements!$C$2:$C$1000,0))
)</f>
        <v>10</v>
      </c>
      <c r="I133" s="168"/>
    </row>
    <row r="134" spans="1:9" ht="15.75" x14ac:dyDescent="0.25">
      <c r="A134" s="64" t="s">
        <v>1648</v>
      </c>
      <c r="B134" s="15" t="s">
        <v>1444</v>
      </c>
      <c r="C134" s="15">
        <v>1</v>
      </c>
      <c r="D134" s="62">
        <v>45730</v>
      </c>
      <c r="E134" s="62">
        <v>45744</v>
      </c>
      <c r="F134" s="67">
        <f>ROUND((E134-D134+1)/30,0)*INDEX(DB_Locations!H:H,MATCH(B134,DB_Locations!A:A,0))</f>
        <v>190</v>
      </c>
      <c r="G134" s="15" t="s">
        <v>67</v>
      </c>
      <c r="H134" s="64">
        <f t="array" ref="H134">IF(C134=1,
    D134-VLOOKUP(B134,DB_Locations!A:D,4,FALSE),
    D134-INDEX(DB_Paiements!$E$2:$E$1000,MATCH(B134&amp;(C134-1),DB_Paiements!$B$2:$B$1000&amp;DB_Paiements!$C$2:$C$1000,0))
)</f>
        <v>0</v>
      </c>
      <c r="I134" s="168"/>
    </row>
    <row r="135" spans="1:9" ht="15.75" x14ac:dyDescent="0.25">
      <c r="A135" s="64" t="s">
        <v>1649</v>
      </c>
      <c r="B135" s="15" t="s">
        <v>1444</v>
      </c>
      <c r="C135" s="15">
        <v>2</v>
      </c>
      <c r="D135" s="62">
        <v>45744</v>
      </c>
      <c r="E135" s="62">
        <v>45835</v>
      </c>
      <c r="F135" s="67">
        <f>ROUND((E135-D135+1)/30,0)*INDEX(DB_Locations!H:H,MATCH(B135,DB_Locations!A:A,0))</f>
        <v>570</v>
      </c>
      <c r="G135" s="15" t="s">
        <v>67</v>
      </c>
      <c r="H135" s="64">
        <f t="array" ref="H135">IF(C135=1,
    D135-VLOOKUP(B135,DB_Locations!A:D,4,FALSE),
    D135-INDEX(DB_Paiements!$E$2:$E$1000,MATCH(B135&amp;(C135-1),DB_Paiements!$B$2:$B$1000&amp;DB_Paiements!$C$2:$C$1000,0))
)</f>
        <v>0</v>
      </c>
      <c r="I135" s="168"/>
    </row>
    <row r="136" spans="1:9" ht="15.75" x14ac:dyDescent="0.25">
      <c r="A136" s="64" t="s">
        <v>1650</v>
      </c>
      <c r="B136" s="15" t="s">
        <v>1445</v>
      </c>
      <c r="C136" s="15">
        <v>1</v>
      </c>
      <c r="D136" s="62">
        <v>45738</v>
      </c>
      <c r="E136" s="62">
        <v>45829</v>
      </c>
      <c r="F136" s="67">
        <f>ROUND((E136-D136+1)/30,0)*INDEX(DB_Locations!H:H,MATCH(B136,DB_Locations!A:A,0))</f>
        <v>570</v>
      </c>
      <c r="G136" s="15" t="s">
        <v>67</v>
      </c>
      <c r="H136" s="64">
        <f t="array" ref="H136">IF(C136=1,
    D136-VLOOKUP(B136,DB_Locations!A:D,4,FALSE),
    D136-INDEX(DB_Paiements!$E$2:$E$1000,MATCH(B136&amp;(C136-1),DB_Paiements!$B$2:$B$1000&amp;DB_Paiements!$C$2:$C$1000,0))
)</f>
        <v>0</v>
      </c>
      <c r="I136" s="168"/>
    </row>
    <row r="137" spans="1:9" ht="15.75" x14ac:dyDescent="0.25">
      <c r="A137" s="64" t="s">
        <v>1651</v>
      </c>
      <c r="B137" s="15" t="s">
        <v>1445</v>
      </c>
      <c r="C137" s="15">
        <v>2</v>
      </c>
      <c r="D137" s="62">
        <v>45829</v>
      </c>
      <c r="E137" s="62">
        <v>45920</v>
      </c>
      <c r="F137" s="67">
        <f>ROUND((E137-D137+1)/30,0)*INDEX(DB_Locations!H:H,MATCH(B137,DB_Locations!A:A,0))</f>
        <v>570</v>
      </c>
      <c r="G137" s="15" t="s">
        <v>67</v>
      </c>
      <c r="H137" s="64">
        <f t="array" ref="H137">IF(C137=1,
    D137-VLOOKUP(B137,DB_Locations!A:D,4,FALSE),
    D137-INDEX(DB_Paiements!$E$2:$E$1000,MATCH(B137&amp;(C137-1),DB_Paiements!$B$2:$B$1000&amp;DB_Paiements!$C$2:$C$1000,0))
)</f>
        <v>0</v>
      </c>
      <c r="I137" s="168"/>
    </row>
    <row r="138" spans="1:9" ht="15.75" x14ac:dyDescent="0.25">
      <c r="A138" s="64" t="s">
        <v>1652</v>
      </c>
      <c r="B138" s="15"/>
      <c r="C138" s="15"/>
      <c r="D138" s="62"/>
      <c r="E138" s="62"/>
      <c r="F138" s="67" t="e">
        <f>ROUND((E138-D138+1)/30,0)*INDEX(DB_Locations!H:H,MATCH(B138,DB_Locations!A:A,0))</f>
        <v>#N/A</v>
      </c>
      <c r="G138" s="15"/>
      <c r="H138" s="64" t="e">
        <f t="array" ref="H138">IF(C138=1,
    D138-VLOOKUP(B138,DB_Locations!A:D,4,FALSE),
    D138-INDEX(DB_Paiements!$E$2:$E$1000,MATCH(B138&amp;(C138-1),DB_Paiements!$B$2:$B$1000&amp;DB_Paiements!$C$2:$C$1000,0))
)</f>
        <v>#N/A</v>
      </c>
      <c r="I138" s="168"/>
    </row>
    <row r="139" spans="1:9" ht="15.75" x14ac:dyDescent="0.25">
      <c r="A139" s="64" t="s">
        <v>1653</v>
      </c>
      <c r="B139" s="15" t="s">
        <v>1446</v>
      </c>
      <c r="C139" s="15">
        <v>1</v>
      </c>
      <c r="D139" s="62">
        <v>45744</v>
      </c>
      <c r="E139" s="62">
        <v>45835</v>
      </c>
      <c r="F139" s="67">
        <f>ROUND((E139-D139+1)/30,0)*INDEX(DB_Locations!H:H,MATCH(B139,DB_Locations!A:A,0))</f>
        <v>570</v>
      </c>
      <c r="G139" s="15" t="s">
        <v>67</v>
      </c>
      <c r="H139" s="64">
        <f t="array" ref="H139">IF(C139=1,
    D139-VLOOKUP(B139,DB_Locations!A:D,4,FALSE),
    D139-INDEX(DB_Paiements!$E$2:$E$1000,MATCH(B139&amp;(C139-1),DB_Paiements!$B$2:$B$1000&amp;DB_Paiements!$C$2:$C$1000,0))
)</f>
        <v>0</v>
      </c>
      <c r="I139" s="168"/>
    </row>
    <row r="140" spans="1:9" ht="15.75" x14ac:dyDescent="0.25">
      <c r="A140" s="64" t="s">
        <v>1654</v>
      </c>
      <c r="B140" s="15" t="s">
        <v>1447</v>
      </c>
      <c r="C140" s="15">
        <v>1</v>
      </c>
      <c r="D140" s="62">
        <v>45724</v>
      </c>
      <c r="E140" s="62">
        <v>45767</v>
      </c>
      <c r="F140" s="67">
        <f>ROUND((E140-D140+1)/30,0)*INDEX(DB_Locations!H:H,MATCH(B140,DB_Locations!A:A,0))</f>
        <v>430</v>
      </c>
      <c r="G140" s="15" t="s">
        <v>67</v>
      </c>
      <c r="H140" s="64">
        <f t="array" ref="H140">IF(C140=1,
    D140-VLOOKUP(B140,DB_Locations!A:D,4,FALSE),
    D140-INDEX(DB_Paiements!$E$2:$E$1000,MATCH(B140&amp;(C140-1),DB_Paiements!$B$2:$B$1000&amp;DB_Paiements!$C$2:$C$1000,0))
)</f>
        <v>0</v>
      </c>
      <c r="I140" s="168"/>
    </row>
    <row r="141" spans="1:9" ht="15.75" x14ac:dyDescent="0.25">
      <c r="A141" s="64" t="s">
        <v>1655</v>
      </c>
      <c r="B141" s="15" t="s">
        <v>1447</v>
      </c>
      <c r="C141" s="15">
        <v>2</v>
      </c>
      <c r="D141" s="62">
        <v>45767</v>
      </c>
      <c r="E141" s="62">
        <v>45857</v>
      </c>
      <c r="F141" s="67">
        <f>ROUND((E141-D141+1)/30,0)*INDEX(DB_Locations!H:H,MATCH(B141,DB_Locations!A:A,0))</f>
        <v>1290</v>
      </c>
      <c r="G141" s="15" t="s">
        <v>67</v>
      </c>
      <c r="H141" s="64">
        <f t="array" ref="H141">IF(C141=1,
    D141-VLOOKUP(B141,DB_Locations!A:D,4,FALSE),
    D141-INDEX(DB_Paiements!$E$2:$E$1000,MATCH(B141&amp;(C141-1),DB_Paiements!$B$2:$B$1000&amp;DB_Paiements!$C$2:$C$1000,0))
)</f>
        <v>0</v>
      </c>
      <c r="I141" s="168"/>
    </row>
    <row r="142" spans="1:9" ht="15.75" x14ac:dyDescent="0.25">
      <c r="A142" s="64" t="s">
        <v>1656</v>
      </c>
      <c r="B142" s="15"/>
      <c r="C142" s="15"/>
      <c r="D142" s="62"/>
      <c r="E142" s="62"/>
      <c r="F142" s="67" t="e">
        <f>ROUND((E142-D142+1)/30,0)*INDEX(DB_Locations!H:H,MATCH(B142,DB_Locations!A:A,0))</f>
        <v>#N/A</v>
      </c>
      <c r="G142" s="15"/>
      <c r="H142" s="64" t="e">
        <f t="array" ref="H142">IF(C142=1,
    D142-VLOOKUP(B142,DB_Locations!A:D,4,FALSE),
    D142-INDEX(DB_Paiements!$E$2:$E$1000,MATCH(B142&amp;(C142-1),DB_Paiements!$B$2:$B$1000&amp;DB_Paiements!$C$2:$C$1000,0))
)</f>
        <v>#N/A</v>
      </c>
      <c r="I142" s="168"/>
    </row>
    <row r="143" spans="1:9" ht="15.75" x14ac:dyDescent="0.25">
      <c r="A143" s="64" t="s">
        <v>1657</v>
      </c>
      <c r="B143" s="15" t="s">
        <v>1448</v>
      </c>
      <c r="C143" s="15">
        <v>1</v>
      </c>
      <c r="D143" s="62">
        <v>45792</v>
      </c>
      <c r="E143" s="62">
        <v>45883</v>
      </c>
      <c r="F143" s="67">
        <f>ROUND((E143-D143+1)/30,0)*INDEX(DB_Locations!H:H,MATCH(B143,DB_Locations!A:A,0))</f>
        <v>570</v>
      </c>
      <c r="G143" s="15" t="s">
        <v>67</v>
      </c>
      <c r="H143" s="64">
        <f t="array" ref="H143">IF(C143=1,
    D143-VLOOKUP(B143,DB_Locations!A:D,4,FALSE),
    D143-INDEX(DB_Paiements!$E$2:$E$1000,MATCH(B143&amp;(C143-1),DB_Paiements!$B$2:$B$1000&amp;DB_Paiements!$C$2:$C$1000,0))
)</f>
        <v>0</v>
      </c>
      <c r="I143" s="168"/>
    </row>
    <row r="144" spans="1:9" ht="15.75" x14ac:dyDescent="0.25">
      <c r="A144" s="64" t="s">
        <v>1658</v>
      </c>
      <c r="B144" s="15"/>
      <c r="C144" s="15"/>
      <c r="D144" s="62"/>
      <c r="E144" s="62"/>
      <c r="F144" s="67" t="e">
        <f>ROUND((E144-D144+1)/30,0)*INDEX(DB_Locations!H:H,MATCH(B144,DB_Locations!A:A,0))</f>
        <v>#N/A</v>
      </c>
      <c r="G144" s="15"/>
      <c r="H144" s="64" t="e">
        <f t="array" ref="H144">IF(C144=1,
    D144-VLOOKUP(B144,DB_Locations!A:D,4,FALSE),
    D144-INDEX(DB_Paiements!$E$2:$E$1000,MATCH(B144&amp;(C144-1),DB_Paiements!$B$2:$B$1000&amp;DB_Paiements!$C$2:$C$1000,0))
)</f>
        <v>#N/A</v>
      </c>
      <c r="I144" s="168"/>
    </row>
    <row r="145" spans="1:9" ht="15.75" x14ac:dyDescent="0.25">
      <c r="A145" s="64" t="s">
        <v>1659</v>
      </c>
      <c r="B145" s="15" t="s">
        <v>1449</v>
      </c>
      <c r="C145" s="15">
        <v>1</v>
      </c>
      <c r="D145" s="62">
        <v>45804</v>
      </c>
      <c r="E145" s="62">
        <v>45895</v>
      </c>
      <c r="F145" s="67">
        <f>ROUND((E145-D145+1)/30,0)*INDEX(DB_Locations!H:H,MATCH(B145,DB_Locations!A:A,0))</f>
        <v>570</v>
      </c>
      <c r="G145" s="15" t="s">
        <v>67</v>
      </c>
      <c r="H145" s="64">
        <f t="array" ref="H145">IF(C145=1,
    D145-VLOOKUP(B145,DB_Locations!A:D,4,FALSE),
    D145-INDEX(DB_Paiements!$E$2:$E$1000,MATCH(B145&amp;(C145-1),DB_Paiements!$B$2:$B$1000&amp;DB_Paiements!$C$2:$C$1000,0))
)</f>
        <v>5</v>
      </c>
      <c r="I145" s="168"/>
    </row>
    <row r="146" spans="1:9" ht="15.75" x14ac:dyDescent="0.25">
      <c r="A146" s="64" t="s">
        <v>1660</v>
      </c>
      <c r="B146" s="15"/>
      <c r="C146" s="15"/>
      <c r="D146" s="62"/>
      <c r="E146" s="62"/>
      <c r="F146" s="67" t="e">
        <f>ROUND((E146-D146+1)/30,0)*INDEX(DB_Locations!H:H,MATCH(B146,DB_Locations!A:A,0))</f>
        <v>#N/A</v>
      </c>
      <c r="G146" s="15"/>
      <c r="H146" s="64" t="e">
        <f t="array" ref="H146">IF(C146=1,
    D146-VLOOKUP(B146,DB_Locations!A:D,4,FALSE),
    D146-INDEX(DB_Paiements!$E$2:$E$1000,MATCH(B146&amp;(C146-1),DB_Paiements!$B$2:$B$1000&amp;DB_Paiements!$C$2:$C$1000,0))
)</f>
        <v>#N/A</v>
      </c>
      <c r="I146" s="168"/>
    </row>
    <row r="147" spans="1:9" ht="15.75" x14ac:dyDescent="0.25">
      <c r="A147" s="64" t="s">
        <v>1661</v>
      </c>
      <c r="B147" s="15" t="s">
        <v>1450</v>
      </c>
      <c r="C147" s="15">
        <v>1</v>
      </c>
      <c r="D147" s="62">
        <v>45804</v>
      </c>
      <c r="E147" s="62">
        <v>45895</v>
      </c>
      <c r="F147" s="67">
        <f>ROUND((E147-D147+1)/30,0)*INDEX(DB_Locations!H:H,MATCH(B147,DB_Locations!A:A,0))</f>
        <v>1290</v>
      </c>
      <c r="G147" s="15" t="s">
        <v>67</v>
      </c>
      <c r="H147" s="64">
        <f t="array" ref="H147">IF(C147=1,
    D147-VLOOKUP(B147,DB_Locations!A:D,4,FALSE),
    D147-INDEX(DB_Paiements!$E$2:$E$1000,MATCH(B147&amp;(C147-1),DB_Paiements!$B$2:$B$1000&amp;DB_Paiements!$C$2:$C$1000,0))
)</f>
        <v>5</v>
      </c>
      <c r="I147" s="168"/>
    </row>
    <row r="148" spans="1:9" ht="15.75" x14ac:dyDescent="0.25">
      <c r="A148" s="64" t="s">
        <v>1662</v>
      </c>
      <c r="B148" s="15"/>
      <c r="C148" s="15"/>
      <c r="D148" s="62"/>
      <c r="E148" s="62"/>
      <c r="F148" s="67" t="e">
        <f>ROUND((E148-D148+1)/30,0)*INDEX(DB_Locations!H:H,MATCH(B148,DB_Locations!A:A,0))</f>
        <v>#N/A</v>
      </c>
      <c r="G148" s="15"/>
      <c r="H148" s="64" t="e">
        <f t="array" ref="H148">IF(C148=1,
    D148-VLOOKUP(B148,DB_Locations!A:D,4,FALSE),
    D148-INDEX(DB_Paiements!$E$2:$E$1000,MATCH(B148&amp;(C148-1),DB_Paiements!$B$2:$B$1000&amp;DB_Paiements!$C$2:$C$1000,0))
)</f>
        <v>#N/A</v>
      </c>
      <c r="I148" s="168"/>
    </row>
    <row r="149" spans="1:9" ht="15.75" x14ac:dyDescent="0.25">
      <c r="A149" s="64" t="s">
        <v>1663</v>
      </c>
      <c r="B149" s="15" t="s">
        <v>1451</v>
      </c>
      <c r="C149" s="15">
        <v>1</v>
      </c>
      <c r="D149" s="62">
        <v>45800</v>
      </c>
      <c r="E149" s="62">
        <v>45891</v>
      </c>
      <c r="F149" s="67">
        <f>ROUND((E149-D149+1)/30,0)*INDEX(DB_Locations!H:H,MATCH(B149,DB_Locations!A:A,0))</f>
        <v>570</v>
      </c>
      <c r="G149" s="15" t="s">
        <v>67</v>
      </c>
      <c r="H149" s="64">
        <f t="array" ref="H149">IF(C149=1,
    D149-VLOOKUP(B149,DB_Locations!A:D,4,FALSE),
    D149-INDEX(DB_Paiements!$E$2:$E$1000,MATCH(B149&amp;(C149-1),DB_Paiements!$B$2:$B$1000&amp;DB_Paiements!$C$2:$C$1000,0))
)</f>
        <v>1</v>
      </c>
      <c r="I149" s="168"/>
    </row>
    <row r="150" spans="1:9" ht="15.75" x14ac:dyDescent="0.25">
      <c r="A150" s="64" t="s">
        <v>1664</v>
      </c>
      <c r="B150" s="15" t="s">
        <v>1452</v>
      </c>
      <c r="C150" s="15">
        <v>1</v>
      </c>
      <c r="D150" s="62">
        <v>43454</v>
      </c>
      <c r="E150" s="62">
        <v>45800</v>
      </c>
      <c r="F150" s="67">
        <f>ROUND((E150-D150+1)/30,0)*INDEX(DB_Locations!H:H,MATCH(B150,DB_Locations!A:A,0))</f>
        <v>33540</v>
      </c>
      <c r="G150" s="15" t="s">
        <v>67</v>
      </c>
      <c r="H150" s="64">
        <f t="array" ref="H150">IF(C150=1,
    D150-VLOOKUP(B150,DB_Locations!A:D,4,FALSE),
    D150-INDEX(DB_Paiements!$E$2:$E$1000,MATCH(B150&amp;(C150-1),DB_Paiements!$B$2:$B$1000&amp;DB_Paiements!$C$2:$C$1000,0))
)</f>
        <v>0</v>
      </c>
      <c r="I150" s="168"/>
    </row>
    <row r="151" spans="1:9" ht="15.75" x14ac:dyDescent="0.25">
      <c r="A151" s="64" t="s">
        <v>1665</v>
      </c>
      <c r="B151" s="15" t="s">
        <v>1452</v>
      </c>
      <c r="C151" s="15">
        <v>2</v>
      </c>
      <c r="D151" s="62">
        <v>45800</v>
      </c>
      <c r="E151" s="62">
        <v>45983</v>
      </c>
      <c r="F151" s="67">
        <f>ROUND((E151-D151+1)/30,0)*INDEX(DB_Locations!H:H,MATCH(B151,DB_Locations!A:A,0))</f>
        <v>2580</v>
      </c>
      <c r="G151" s="15" t="s">
        <v>67</v>
      </c>
      <c r="H151" s="64">
        <f t="array" ref="H151">IF(C151=1,
    D151-VLOOKUP(B151,DB_Locations!A:D,4,FALSE),
    D151-INDEX(DB_Paiements!$E$2:$E$1000,MATCH(B151&amp;(C151-1),DB_Paiements!$B$2:$B$1000&amp;DB_Paiements!$C$2:$C$1000,0))
)</f>
        <v>0</v>
      </c>
      <c r="I151" s="168"/>
    </row>
    <row r="152" spans="1:9" ht="15.75" x14ac:dyDescent="0.25">
      <c r="A152" s="64" t="s">
        <v>1666</v>
      </c>
      <c r="B152" s="15"/>
      <c r="C152" s="15"/>
      <c r="D152" s="62"/>
      <c r="E152" s="62"/>
      <c r="F152" s="67" t="e">
        <f>ROUND((E152-D152+1)/30,0)*INDEX(DB_Locations!H:H,MATCH(B152,DB_Locations!A:A,0))</f>
        <v>#N/A</v>
      </c>
      <c r="G152" s="15"/>
      <c r="H152" s="64" t="e">
        <f t="array" ref="H152">IF(C152=1,
    D152-VLOOKUP(B152,DB_Locations!A:D,4,FALSE),
    D152-INDEX(DB_Paiements!$E$2:$E$1000,MATCH(B152&amp;(C152-1),DB_Paiements!$B$2:$B$1000&amp;DB_Paiements!$C$2:$C$1000,0))
)</f>
        <v>#N/A</v>
      </c>
      <c r="I152" s="168"/>
    </row>
    <row r="153" spans="1:9" ht="15.75" x14ac:dyDescent="0.25">
      <c r="A153" s="64" t="s">
        <v>1667</v>
      </c>
      <c r="B153" s="15" t="s">
        <v>1453</v>
      </c>
      <c r="C153" s="15">
        <v>1</v>
      </c>
      <c r="D153" s="62">
        <v>45812</v>
      </c>
      <c r="E153" s="62">
        <v>45903</v>
      </c>
      <c r="F153" s="67">
        <f>ROUND((E153-D153+1)/30,0)*INDEX(DB_Locations!H:H,MATCH(B153,DB_Locations!A:A,0))</f>
        <v>570</v>
      </c>
      <c r="G153" s="15" t="s">
        <v>67</v>
      </c>
      <c r="H153" s="64">
        <f t="array" ref="H153">IF(C153=1,
    D153-VLOOKUP(B153,DB_Locations!A:D,4,FALSE),
    D153-INDEX(DB_Paiements!$E$2:$E$1000,MATCH(B153&amp;(C153-1),DB_Paiements!$B$2:$B$1000&amp;DB_Paiements!$C$2:$C$1000,0))
)</f>
        <v>0</v>
      </c>
      <c r="I153" s="168"/>
    </row>
    <row r="154" spans="1:9" ht="15.75" x14ac:dyDescent="0.25">
      <c r="A154" s="64" t="s">
        <v>1668</v>
      </c>
      <c r="B154" s="15" t="s">
        <v>1454</v>
      </c>
      <c r="C154" s="15">
        <v>1</v>
      </c>
      <c r="D154" s="62">
        <v>45727</v>
      </c>
      <c r="E154" s="62">
        <v>45768</v>
      </c>
      <c r="F154" s="67">
        <f>ROUND((E154-D154+1)/30,0)*INDEX(DB_Locations!H:H,MATCH(B154,DB_Locations!A:A,0))</f>
        <v>430</v>
      </c>
      <c r="G154" s="15" t="s">
        <v>67</v>
      </c>
      <c r="H154" s="64">
        <f t="array" ref="H154">IF(C154=1,
    D154-VLOOKUP(B154,DB_Locations!A:D,4,FALSE),
    D154-INDEX(DB_Paiements!$E$2:$E$1000,MATCH(B154&amp;(C154-1),DB_Paiements!$B$2:$B$1000&amp;DB_Paiements!$C$2:$C$1000,0))
)</f>
        <v>0</v>
      </c>
      <c r="I154" s="168"/>
    </row>
    <row r="155" spans="1:9" ht="15.75" x14ac:dyDescent="0.25">
      <c r="A155" s="64" t="s">
        <v>1669</v>
      </c>
      <c r="B155" s="15" t="s">
        <v>1454</v>
      </c>
      <c r="C155" s="15">
        <v>2</v>
      </c>
      <c r="D155" s="62">
        <v>45768</v>
      </c>
      <c r="E155" s="62">
        <v>45858</v>
      </c>
      <c r="F155" s="67">
        <f>ROUND((E155-D155+1)/30,0)*INDEX(DB_Locations!H:H,MATCH(B155,DB_Locations!A:A,0))</f>
        <v>1290</v>
      </c>
      <c r="G155" s="15" t="s">
        <v>67</v>
      </c>
      <c r="H155" s="64">
        <f t="array" ref="H155">IF(C155=1,
    D155-VLOOKUP(B155,DB_Locations!A:D,4,FALSE),
    D155-INDEX(DB_Paiements!$E$2:$E$1000,MATCH(B155&amp;(C155-1),DB_Paiements!$B$2:$B$1000&amp;DB_Paiements!$C$2:$C$1000,0))
)</f>
        <v>0</v>
      </c>
      <c r="I155" s="168"/>
    </row>
    <row r="156" spans="1:9" ht="15.75" x14ac:dyDescent="0.25">
      <c r="A156" s="64" t="s">
        <v>1670</v>
      </c>
      <c r="B156" s="15" t="s">
        <v>1455</v>
      </c>
      <c r="C156" s="15">
        <v>1</v>
      </c>
      <c r="D156" s="62">
        <v>45738</v>
      </c>
      <c r="E156" s="62">
        <v>45755</v>
      </c>
      <c r="F156" s="67">
        <f>ROUND((E156-D156+1)/30,0)*INDEX(DB_Locations!H:H,MATCH(B156,DB_Locations!A:A,0))</f>
        <v>190</v>
      </c>
      <c r="G156" s="15" t="s">
        <v>67</v>
      </c>
      <c r="H156" s="64">
        <f t="array" ref="H156">IF(C156=1,
    D156-VLOOKUP(B156,DB_Locations!A:D,4,FALSE),
    D156-INDEX(DB_Paiements!$E$2:$E$1000,MATCH(B156&amp;(C156-1),DB_Paiements!$B$2:$B$1000&amp;DB_Paiements!$C$2:$C$1000,0))
)</f>
        <v>0</v>
      </c>
      <c r="I156" s="168"/>
    </row>
    <row r="157" spans="1:9" ht="15.75" x14ac:dyDescent="0.25">
      <c r="A157" s="64" t="s">
        <v>1671</v>
      </c>
      <c r="B157" s="15" t="s">
        <v>1455</v>
      </c>
      <c r="C157" s="15">
        <v>2</v>
      </c>
      <c r="D157" s="62">
        <v>45755</v>
      </c>
      <c r="E157" s="62">
        <v>45845</v>
      </c>
      <c r="F157" s="67">
        <f>ROUND((E157-D157+1)/30,0)*INDEX(DB_Locations!H:H,MATCH(B157,DB_Locations!A:A,0))</f>
        <v>570</v>
      </c>
      <c r="G157" s="15" t="s">
        <v>67</v>
      </c>
      <c r="H157" s="64">
        <f t="array" ref="H157">IF(C157=1,
    D157-VLOOKUP(B157,DB_Locations!A:D,4,FALSE),
    D157-INDEX(DB_Paiements!$E$2:$E$1000,MATCH(B157&amp;(C157-1),DB_Paiements!$B$2:$B$1000&amp;DB_Paiements!$C$2:$C$1000,0))
)</f>
        <v>0</v>
      </c>
      <c r="I157" s="168"/>
    </row>
    <row r="158" spans="1:9" ht="15.75" x14ac:dyDescent="0.25">
      <c r="A158" s="64" t="s">
        <v>1672</v>
      </c>
      <c r="B158" s="15" t="s">
        <v>1456</v>
      </c>
      <c r="C158" s="15">
        <v>1</v>
      </c>
      <c r="D158" s="62">
        <f ca="1">TODAY()</f>
        <v>45895</v>
      </c>
      <c r="E158" s="62">
        <v>45738</v>
      </c>
      <c r="F158" s="67">
        <f ca="1">ROUND((E158-D158+1)/30,0)*INDEX(DB_Locations!H:H,MATCH(B158,DB_Locations!A:A,0))</f>
        <v>-2150</v>
      </c>
      <c r="G158" s="15" t="s">
        <v>67</v>
      </c>
      <c r="H158" s="64">
        <f t="array" aca="1" ref="H158" ca="1">IF(C158=1,
    D158-VLOOKUP(B158,DB_Locations!A:D,4,FALSE),
    D158-INDEX(DB_Paiements!$E$2:$E$1000,MATCH(B158&amp;(C158-1),DB_Paiements!$B$2:$B$1000&amp;DB_Paiements!$C$2:$C$1000,0))
)</f>
        <v>157</v>
      </c>
      <c r="I158" s="168"/>
    </row>
    <row r="159" spans="1:9" ht="15.75" x14ac:dyDescent="0.25">
      <c r="A159" s="64" t="s">
        <v>1673</v>
      </c>
      <c r="B159" s="15"/>
      <c r="C159" s="15"/>
      <c r="D159" s="62"/>
      <c r="E159" s="62"/>
      <c r="F159" s="67" t="e">
        <f>ROUND((E159-D159+1)/30,0)*INDEX(DB_Locations!H:H,MATCH(B159,DB_Locations!A:A,0))</f>
        <v>#N/A</v>
      </c>
      <c r="G159" s="15"/>
      <c r="H159" s="64" t="e">
        <f t="array" ref="H159">IF(C159=1,
    D159-VLOOKUP(B159,DB_Locations!A:D,4,FALSE),
    D159-INDEX(DB_Paiements!$E$2:$E$1000,MATCH(B159&amp;(C159-1),DB_Paiements!$B$2:$B$1000&amp;DB_Paiements!$C$2:$C$1000,0))
)</f>
        <v>#N/A</v>
      </c>
      <c r="I159" s="168"/>
    </row>
    <row r="160" spans="1:9" ht="15.75" x14ac:dyDescent="0.25">
      <c r="A160" s="64" t="s">
        <v>1674</v>
      </c>
      <c r="B160" s="15" t="s">
        <v>1457</v>
      </c>
      <c r="C160" s="15">
        <v>1</v>
      </c>
      <c r="D160" s="62">
        <v>45744</v>
      </c>
      <c r="E160" s="62">
        <v>45835</v>
      </c>
      <c r="F160" s="67">
        <f>ROUND((E160-D160+1)/30,0)*INDEX(DB_Locations!H:H,MATCH(B160,DB_Locations!A:A,0))</f>
        <v>570</v>
      </c>
      <c r="G160" s="15" t="s">
        <v>67</v>
      </c>
      <c r="H160" s="64">
        <f t="array" ref="H160">IF(C160=1,
    D160-VLOOKUP(B160,DB_Locations!A:D,4,FALSE),
    D160-INDEX(DB_Paiements!$E$2:$E$1000,MATCH(B160&amp;(C160-1),DB_Paiements!$B$2:$B$1000&amp;DB_Paiements!$C$2:$C$1000,0))
)</f>
        <v>0</v>
      </c>
      <c r="I160" s="168"/>
    </row>
    <row r="161" spans="1:9" ht="15.75" x14ac:dyDescent="0.25">
      <c r="A161" s="64" t="s">
        <v>1675</v>
      </c>
      <c r="B161" s="15"/>
      <c r="C161" s="15"/>
      <c r="D161" s="62"/>
      <c r="E161" s="62"/>
      <c r="F161" s="67" t="e">
        <f>ROUND((E161-D161+1)/30,0)*INDEX(DB_Locations!H:H,MATCH(B161,DB_Locations!A:A,0))</f>
        <v>#N/A</v>
      </c>
      <c r="G161" s="15"/>
      <c r="H161" s="64" t="e">
        <f t="array" ref="H161">IF(C161=1,
    D161-VLOOKUP(B161,DB_Locations!A:D,4,FALSE),
    D161-INDEX(DB_Paiements!$E$2:$E$1000,MATCH(B161&amp;(C161-1),DB_Paiements!$B$2:$B$1000&amp;DB_Paiements!$C$2:$C$1000,0))
)</f>
        <v>#N/A</v>
      </c>
      <c r="I161" s="168"/>
    </row>
    <row r="162" spans="1:9" ht="15.75" x14ac:dyDescent="0.25">
      <c r="A162" s="64" t="s">
        <v>1676</v>
      </c>
      <c r="B162" s="15" t="s">
        <v>1458</v>
      </c>
      <c r="C162" s="15">
        <v>1</v>
      </c>
      <c r="D162" s="62">
        <v>45838</v>
      </c>
      <c r="E162" s="62">
        <v>45929</v>
      </c>
      <c r="F162" s="67">
        <f>ROUND((E162-D162+1)/30,0)*INDEX(DB_Locations!H:H,MATCH(B162,DB_Locations!A:A,0))</f>
        <v>570</v>
      </c>
      <c r="G162" s="15" t="s">
        <v>67</v>
      </c>
      <c r="H162" s="64">
        <f t="array" ref="H162">IF(C162=1,
    D162-VLOOKUP(B162,DB_Locations!A:D,4,FALSE),
    D162-INDEX(DB_Paiements!$E$2:$E$1000,MATCH(B162&amp;(C162-1),DB_Paiements!$B$2:$B$1000&amp;DB_Paiements!$C$2:$C$1000,0))
)</f>
        <v>7</v>
      </c>
      <c r="I162" s="168"/>
    </row>
    <row r="163" spans="1:9" ht="15.75" x14ac:dyDescent="0.25">
      <c r="A163" s="64" t="s">
        <v>1677</v>
      </c>
      <c r="B163" s="15"/>
      <c r="C163" s="15"/>
      <c r="D163" s="62"/>
      <c r="E163" s="62"/>
      <c r="F163" s="67" t="e">
        <f>ROUND((E163-D163+1)/30,0)*INDEX(DB_Locations!H:H,MATCH(B163,DB_Locations!A:A,0))</f>
        <v>#N/A</v>
      </c>
      <c r="G163" s="15"/>
      <c r="H163" s="64" t="e">
        <f t="array" ref="H163">IF(C163=1,
    D163-VLOOKUP(B163,DB_Locations!A:D,4,FALSE),
    D163-INDEX(DB_Paiements!$E$2:$E$1000,MATCH(B163&amp;(C163-1),DB_Paiements!$B$2:$B$1000&amp;DB_Paiements!$C$2:$C$1000,0))
)</f>
        <v>#N/A</v>
      </c>
      <c r="I163" s="168"/>
    </row>
    <row r="164" spans="1:9" ht="15.75" x14ac:dyDescent="0.25">
      <c r="A164" s="64" t="s">
        <v>1678</v>
      </c>
      <c r="B164" s="15" t="s">
        <v>1459</v>
      </c>
      <c r="C164" s="15">
        <v>1</v>
      </c>
      <c r="D164" s="62">
        <v>45838</v>
      </c>
      <c r="E164" s="62">
        <v>45929</v>
      </c>
      <c r="F164" s="67">
        <f>ROUND((E164-D164+1)/30,0)*INDEX(DB_Locations!H:H,MATCH(B164,DB_Locations!A:A,0))</f>
        <v>1290</v>
      </c>
      <c r="G164" s="15" t="s">
        <v>67</v>
      </c>
      <c r="H164" s="64">
        <f t="array" ref="H164">IF(C164=1,
    D164-VLOOKUP(B164,DB_Locations!A:D,4,FALSE),
    D164-INDEX(DB_Paiements!$E$2:$E$1000,MATCH(B164&amp;(C164-1),DB_Paiements!$B$2:$B$1000&amp;DB_Paiements!$C$2:$C$1000,0))
)</f>
        <v>12</v>
      </c>
      <c r="I164" s="168"/>
    </row>
    <row r="165" spans="1:9" ht="15.75" x14ac:dyDescent="0.25">
      <c r="A165" s="64" t="s">
        <v>1679</v>
      </c>
      <c r="B165" s="15"/>
      <c r="C165" s="15"/>
      <c r="D165" s="62"/>
      <c r="E165" s="62"/>
      <c r="F165" s="67" t="e">
        <f>ROUND((E165-D165+1)/30,0)*INDEX(DB_Locations!H:H,MATCH(B165,DB_Locations!A:A,0))</f>
        <v>#N/A</v>
      </c>
      <c r="G165" s="15"/>
      <c r="H165" s="64" t="e">
        <f t="array" ref="H165">IF(C165=1,
    D165-VLOOKUP(B165,DB_Locations!A:D,4,FALSE),
    D165-INDEX(DB_Paiements!$E$2:$E$1000,MATCH(B165&amp;(C165-1),DB_Paiements!$B$2:$B$1000&amp;DB_Paiements!$C$2:$C$1000,0))
)</f>
        <v>#N/A</v>
      </c>
      <c r="I165" s="168"/>
    </row>
    <row r="166" spans="1:9" ht="15.75" x14ac:dyDescent="0.25">
      <c r="A166" s="64" t="s">
        <v>1680</v>
      </c>
      <c r="B166" s="15" t="s">
        <v>1460</v>
      </c>
      <c r="C166" s="15">
        <v>1</v>
      </c>
      <c r="D166" s="62">
        <v>45831</v>
      </c>
      <c r="E166" s="62">
        <v>45922</v>
      </c>
      <c r="F166" s="67">
        <f>ROUND((E166-D166+1)/30,0)*INDEX(DB_Locations!H:H,MATCH(B166,DB_Locations!A:A,0))</f>
        <v>570</v>
      </c>
      <c r="G166" s="15" t="s">
        <v>67</v>
      </c>
      <c r="H166" s="64">
        <f t="array" ref="H166">IF(C166=1,
    D166-VLOOKUP(B166,DB_Locations!A:D,4,FALSE),
    D166-INDEX(DB_Paiements!$E$2:$E$1000,MATCH(B166&amp;(C166-1),DB_Paiements!$B$2:$B$1000&amp;DB_Paiements!$C$2:$C$1000,0))
)</f>
        <v>0</v>
      </c>
      <c r="I166" s="168"/>
    </row>
    <row r="167" spans="1:9" ht="15.75" x14ac:dyDescent="0.25">
      <c r="A167" s="64" t="s">
        <v>1681</v>
      </c>
      <c r="B167" s="15" t="s">
        <v>1461</v>
      </c>
      <c r="C167" s="15">
        <v>1</v>
      </c>
      <c r="D167" s="62">
        <v>45659</v>
      </c>
      <c r="E167" s="62">
        <v>45779</v>
      </c>
      <c r="F167" s="67">
        <f>ROUND((E167-D167+1)/30,0)*INDEX(DB_Locations!H:H,MATCH(B167,DB_Locations!A:A,0))</f>
        <v>1720</v>
      </c>
      <c r="G167" s="15" t="s">
        <v>67</v>
      </c>
      <c r="H167" s="64">
        <f t="array" ref="H167">IF(C167=1,
    D167-VLOOKUP(B167,DB_Locations!A:D,4,FALSE),
    D167-INDEX(DB_Paiements!$E$2:$E$1000,MATCH(B167&amp;(C167-1),DB_Paiements!$B$2:$B$1000&amp;DB_Paiements!$C$2:$C$1000,0))
)</f>
        <v>0</v>
      </c>
      <c r="I167" s="168"/>
    </row>
    <row r="168" spans="1:9" ht="15.75" x14ac:dyDescent="0.25">
      <c r="A168" s="64" t="s">
        <v>1682</v>
      </c>
      <c r="B168" s="15" t="s">
        <v>1461</v>
      </c>
      <c r="C168" s="15">
        <v>2</v>
      </c>
      <c r="D168" s="62">
        <v>45779</v>
      </c>
      <c r="E168" s="62">
        <v>45962</v>
      </c>
      <c r="F168" s="67">
        <f>ROUND((E168-D168+1)/30,0)*INDEX(DB_Locations!H:H,MATCH(B168,DB_Locations!A:A,0))</f>
        <v>2580</v>
      </c>
      <c r="G168" s="15" t="s">
        <v>67</v>
      </c>
      <c r="H168" s="64">
        <f t="array" ref="H168">IF(C168=1,
    D168-VLOOKUP(B168,DB_Locations!A:D,4,FALSE),
    D168-INDEX(DB_Paiements!$E$2:$E$1000,MATCH(B168&amp;(C168-1),DB_Paiements!$B$2:$B$1000&amp;DB_Paiements!$C$2:$C$1000,0))
)</f>
        <v>0</v>
      </c>
      <c r="I168" s="168"/>
    </row>
    <row r="169" spans="1:9" ht="15.75" x14ac:dyDescent="0.25">
      <c r="A169" s="64" t="s">
        <v>1683</v>
      </c>
      <c r="B169" s="15"/>
      <c r="C169" s="15"/>
      <c r="D169" s="62"/>
      <c r="E169" s="62"/>
      <c r="F169" s="67" t="e">
        <f>ROUND((E169-D169+1)/30,0)*INDEX(DB_Locations!H:H,MATCH(B169,DB_Locations!A:A,0))</f>
        <v>#N/A</v>
      </c>
      <c r="G169" s="15"/>
      <c r="H169" s="64" t="e">
        <f t="array" ref="H169">IF(C169=1,
    D169-VLOOKUP(B169,DB_Locations!A:D,4,FALSE),
    D169-INDEX(DB_Paiements!$E$2:$E$1000,MATCH(B169&amp;(C169-1),DB_Paiements!$B$2:$B$1000&amp;DB_Paiements!$C$2:$C$1000,0))
)</f>
        <v>#N/A</v>
      </c>
      <c r="I169" s="168"/>
    </row>
    <row r="170" spans="1:9" ht="15.75" x14ac:dyDescent="0.25">
      <c r="A170" s="64" t="s">
        <v>1684</v>
      </c>
      <c r="B170" s="15" t="s">
        <v>1462</v>
      </c>
      <c r="C170" s="15">
        <v>1</v>
      </c>
      <c r="D170" s="62">
        <v>45837</v>
      </c>
      <c r="E170" s="62">
        <v>45866</v>
      </c>
      <c r="F170" s="67">
        <f>ROUND((E170-D170+1)/30,0)*INDEX(DB_Locations!H:H,MATCH(B170,DB_Locations!A:A,0))</f>
        <v>250</v>
      </c>
      <c r="G170" s="15" t="s">
        <v>626</v>
      </c>
      <c r="H170" s="64">
        <f t="array" ref="H170">IF(C170=1,
    D170-VLOOKUP(B170,DB_Locations!A:D,4,FALSE),
    D170-INDEX(DB_Paiements!$E$2:$E$1000,MATCH(B170&amp;(C170-1),DB_Paiements!$B$2:$B$1000&amp;DB_Paiements!$C$2:$C$1000,0))
)</f>
        <v>0</v>
      </c>
      <c r="I170" s="168"/>
    </row>
    <row r="171" spans="1:9" ht="15.75" x14ac:dyDescent="0.25">
      <c r="A171" s="64" t="s">
        <v>1685</v>
      </c>
      <c r="B171" s="15"/>
      <c r="C171" s="15"/>
      <c r="D171" s="62"/>
      <c r="E171" s="62"/>
      <c r="F171" s="67" t="e">
        <f>ROUND((E171-D171+1)/30,0)*INDEX(DB_Locations!H:H,MATCH(B171,DB_Locations!A:A,0))</f>
        <v>#N/A</v>
      </c>
      <c r="G171" s="15" t="s">
        <v>626</v>
      </c>
      <c r="H171" s="64" t="e">
        <f t="array" ref="H171">IF(C171=1,
    D171-VLOOKUP(B171,DB_Locations!A:D,4,FALSE),
    D171-INDEX(DB_Paiements!$E$2:$E$1000,MATCH(B171&amp;(C171-1),DB_Paiements!$B$2:$B$1000&amp;DB_Paiements!$C$2:$C$1000,0))
)</f>
        <v>#N/A</v>
      </c>
      <c r="I171" s="168"/>
    </row>
    <row r="172" spans="1:9" ht="15.75" x14ac:dyDescent="0.25">
      <c r="A172" s="64" t="s">
        <v>1686</v>
      </c>
      <c r="B172" s="15" t="s">
        <v>1463</v>
      </c>
      <c r="C172" s="15">
        <v>1</v>
      </c>
      <c r="D172" s="62">
        <v>45831</v>
      </c>
      <c r="E172" s="62">
        <v>45860</v>
      </c>
      <c r="F172" s="67">
        <f>ROUND((E172-D172+1)/30,0)*INDEX(DB_Locations!H:H,MATCH(B172,DB_Locations!A:A,0))</f>
        <v>450</v>
      </c>
      <c r="G172" s="15" t="s">
        <v>626</v>
      </c>
      <c r="H172" s="64">
        <f t="array" ref="H172">IF(C172=1,
    D172-VLOOKUP(B172,DB_Locations!A:D,4,FALSE),
    D172-INDEX(DB_Paiements!$E$2:$E$1000,MATCH(B172&amp;(C172-1),DB_Paiements!$B$2:$B$1000&amp;DB_Paiements!$C$2:$C$1000,0))
)</f>
        <v>0</v>
      </c>
      <c r="I172" s="168"/>
    </row>
    <row r="173" spans="1:9" ht="15.75" x14ac:dyDescent="0.25">
      <c r="A173" s="64" t="s">
        <v>1687</v>
      </c>
      <c r="B173" s="15"/>
      <c r="C173" s="15"/>
      <c r="D173" s="62"/>
      <c r="E173" s="62"/>
      <c r="F173" s="67" t="e">
        <f>ROUND((E173-D173+1)/30,0)*INDEX(DB_Locations!H:H,MATCH(B173,DB_Locations!A:A,0))</f>
        <v>#N/A</v>
      </c>
      <c r="G173" s="15"/>
      <c r="H173" s="64" t="e">
        <f t="array" ref="H173">IF(C173=1,
    D173-VLOOKUP(B173,DB_Locations!A:D,4,FALSE),
    D173-INDEX(DB_Paiements!$E$2:$E$1000,MATCH(B173&amp;(C173-1),DB_Paiements!$B$2:$B$1000&amp;DB_Paiements!$C$2:$C$1000,0))
)</f>
        <v>#N/A</v>
      </c>
      <c r="I173" s="168"/>
    </row>
    <row r="174" spans="1:9" ht="15.75" x14ac:dyDescent="0.25">
      <c r="A174" s="64" t="s">
        <v>1688</v>
      </c>
      <c r="B174" s="15" t="s">
        <v>1464</v>
      </c>
      <c r="C174" s="15">
        <v>1</v>
      </c>
      <c r="D174" s="62">
        <v>45837</v>
      </c>
      <c r="E174" s="62">
        <v>45866</v>
      </c>
      <c r="F174" s="67">
        <f>ROUND((E174-D174+1)/30,0)*INDEX(DB_Locations!H:H,MATCH(B174,DB_Locations!A:A,0))</f>
        <v>100</v>
      </c>
      <c r="G174" s="15" t="s">
        <v>626</v>
      </c>
      <c r="H174" s="64">
        <f t="array" ref="H174">IF(C174=1,
    D174-VLOOKUP(B174,DB_Locations!A:D,4,FALSE),
    D174-INDEX(DB_Paiements!$E$2:$E$1000,MATCH(B174&amp;(C174-1),DB_Paiements!$B$2:$B$1000&amp;DB_Paiements!$C$2:$C$1000,0))
)</f>
        <v>0</v>
      </c>
      <c r="I174" s="168"/>
    </row>
    <row r="175" spans="1:9" ht="15.75" x14ac:dyDescent="0.25">
      <c r="A175" s="64" t="s">
        <v>1689</v>
      </c>
      <c r="B175" s="15" t="s">
        <v>1465</v>
      </c>
      <c r="C175" s="15">
        <v>1</v>
      </c>
      <c r="D175" s="62">
        <v>45838</v>
      </c>
      <c r="E175" s="62">
        <v>45868</v>
      </c>
      <c r="F175" s="67">
        <f>ROUND((E175-D175+1)/30,0)*INDEX(DB_Locations!H:H,MATCH(B175,DB_Locations!A:A,0))</f>
        <v>250</v>
      </c>
      <c r="G175" s="15" t="s">
        <v>626</v>
      </c>
      <c r="H175" s="64">
        <f t="array" ref="H175">IF(C175=1,
    D175-VLOOKUP(B175,DB_Locations!A:D,4,FALSE),
    D175-INDEX(DB_Paiements!$E$2:$E$1000,MATCH(B175&amp;(C175-1),DB_Paiements!$B$2:$B$1000&amp;DB_Paiements!$C$2:$C$1000,0))
)</f>
        <v>0</v>
      </c>
      <c r="I175" s="168"/>
    </row>
    <row r="176" spans="1:9" ht="15.75" x14ac:dyDescent="0.25">
      <c r="A176" s="64" t="s">
        <v>1690</v>
      </c>
      <c r="B176" s="15" t="s">
        <v>1465</v>
      </c>
      <c r="C176" s="15">
        <v>2</v>
      </c>
      <c r="D176" s="62">
        <v>45868</v>
      </c>
      <c r="E176" s="62">
        <v>45898</v>
      </c>
      <c r="F176" s="67">
        <f>ROUND((E176-D176+1)/30,0)*INDEX(DB_Locations!H:H,MATCH(B176,DB_Locations!A:A,0))</f>
        <v>250</v>
      </c>
      <c r="G176" s="15" t="s">
        <v>626</v>
      </c>
      <c r="H176" s="64">
        <f t="array" ref="H176">IF(C176=1,
    D176-VLOOKUP(B176,DB_Locations!A:D,4,FALSE),
    D176-INDEX(DB_Paiements!$E$2:$E$1000,MATCH(B176&amp;(C176-1),DB_Paiements!$B$2:$B$1000&amp;DB_Paiements!$C$2:$C$1000,0))
)</f>
        <v>0</v>
      </c>
      <c r="I176" s="168"/>
    </row>
    <row r="177" spans="1:14" ht="15.75" x14ac:dyDescent="0.25">
      <c r="A177" s="64" t="s">
        <v>1691</v>
      </c>
      <c r="B177" s="15"/>
      <c r="C177" s="15"/>
      <c r="D177" s="62"/>
      <c r="E177" s="62"/>
      <c r="F177" s="67" t="e">
        <f>ROUND((E177-D177+1)/30,0)*INDEX(DB_Locations!H:H,MATCH(B177,DB_Locations!A:A,0))</f>
        <v>#N/A</v>
      </c>
      <c r="G177" s="15"/>
      <c r="H177" s="64" t="e">
        <f t="array" ref="H177">IF(C177=1,
    D177-VLOOKUP(B177,DB_Locations!A:D,4,FALSE),
    D177-INDEX(DB_Paiements!$E$2:$E$1000,MATCH(B177&amp;(C177-1),DB_Paiements!$B$2:$B$1000&amp;DB_Paiements!$C$2:$C$1000,0))
)</f>
        <v>#N/A</v>
      </c>
      <c r="I177" s="168"/>
    </row>
    <row r="178" spans="1:14" ht="15.75" x14ac:dyDescent="0.25">
      <c r="A178" s="64" t="s">
        <v>1692</v>
      </c>
      <c r="B178" s="15" t="s">
        <v>1466</v>
      </c>
      <c r="C178" s="15">
        <v>1</v>
      </c>
      <c r="D178" s="62">
        <v>45854</v>
      </c>
      <c r="E178" s="62">
        <v>45945</v>
      </c>
      <c r="F178" s="67">
        <f>ROUND((E178-D178+1)/30,0)*INDEX(DB_Locations!H:H,MATCH(B178,DB_Locations!A:A,0))</f>
        <v>570</v>
      </c>
      <c r="G178" s="15" t="s">
        <v>67</v>
      </c>
      <c r="H178" s="64">
        <f t="array" ref="H178">IF(C178=1,
    D178-VLOOKUP(B178,DB_Locations!A:D,4,FALSE),
    D178-INDEX(DB_Paiements!$E$2:$E$1000,MATCH(B178&amp;(C178-1),DB_Paiements!$B$2:$B$1000&amp;DB_Paiements!$C$2:$C$1000,0))
)</f>
        <v>4</v>
      </c>
      <c r="I178" s="168"/>
    </row>
    <row r="179" spans="1:14" ht="15.75" x14ac:dyDescent="0.25">
      <c r="A179" s="64" t="s">
        <v>1693</v>
      </c>
      <c r="B179" s="15"/>
      <c r="C179" s="15"/>
      <c r="D179" s="62"/>
      <c r="E179" s="62"/>
      <c r="F179" s="67" t="e">
        <f>ROUND((E179-D179+1)/30,0)*INDEX(DB_Locations!H:H,MATCH(B179,DB_Locations!A:A,0))</f>
        <v>#N/A</v>
      </c>
      <c r="G179" s="15"/>
      <c r="H179" s="64" t="e">
        <f t="array" ref="H179">IF(C179=1,
    D179-VLOOKUP(B179,DB_Locations!A:D,4,FALSE),
    D179-INDEX(DB_Paiements!$E$2:$E$1000,MATCH(B179&amp;(C179-1),DB_Paiements!$B$2:$B$1000&amp;DB_Paiements!$C$2:$C$1000,0))
)</f>
        <v>#N/A</v>
      </c>
      <c r="I179" s="168"/>
    </row>
    <row r="180" spans="1:14" ht="15.75" x14ac:dyDescent="0.25">
      <c r="A180" s="64" t="s">
        <v>1694</v>
      </c>
      <c r="B180" s="15" t="s">
        <v>1467</v>
      </c>
      <c r="C180" s="15">
        <v>1</v>
      </c>
      <c r="D180" s="62">
        <v>45852</v>
      </c>
      <c r="E180" s="62">
        <v>45943</v>
      </c>
      <c r="F180" s="67">
        <f>ROUND((E180-D180+1)/30,0)*INDEX(DB_Locations!H:H,MATCH(B180,DB_Locations!A:A,0))</f>
        <v>570</v>
      </c>
      <c r="G180" s="15" t="s">
        <v>67</v>
      </c>
      <c r="H180" s="64">
        <f t="array" ref="H180">IF(C180=1,
    D180-VLOOKUP(B180,DB_Locations!A:D,4,FALSE),
    D180-INDEX(DB_Paiements!$E$2:$E$1000,MATCH(B180&amp;(C180-1),DB_Paiements!$B$2:$B$1000&amp;DB_Paiements!$C$2:$C$1000,0))
)</f>
        <v>0</v>
      </c>
      <c r="I180" s="168"/>
    </row>
    <row r="181" spans="1:14" ht="15.75" x14ac:dyDescent="0.25">
      <c r="A181" s="64" t="s">
        <v>1695</v>
      </c>
      <c r="B181" s="15" t="s">
        <v>1468</v>
      </c>
      <c r="C181" s="15">
        <v>1</v>
      </c>
      <c r="D181" s="62">
        <v>44020</v>
      </c>
      <c r="E181" s="62">
        <v>45666</v>
      </c>
      <c r="F181" s="67">
        <f>ROUND((E181-D181+1)/30,0)*INDEX(DB_Locations!H:H,MATCH(B181,DB_Locations!A:A,0))</f>
        <v>23650</v>
      </c>
      <c r="G181" s="15" t="s">
        <v>67</v>
      </c>
      <c r="H181" s="64">
        <f t="array" ref="H181">IF(C181=1,
    D181-VLOOKUP(B181,DB_Locations!A:D,4,FALSE),
    D181-INDEX(DB_Paiements!$E$2:$E$1000,MATCH(B181&amp;(C181-1),DB_Paiements!$B$2:$B$1000&amp;DB_Paiements!$C$2:$C$1000,0))
)</f>
        <v>0</v>
      </c>
      <c r="I181" s="168"/>
    </row>
    <row r="182" spans="1:14" ht="15.75" x14ac:dyDescent="0.25">
      <c r="A182" s="64" t="s">
        <v>1696</v>
      </c>
      <c r="B182" s="15" t="s">
        <v>1468</v>
      </c>
      <c r="C182" s="15">
        <v>2</v>
      </c>
      <c r="D182" s="62">
        <v>45666</v>
      </c>
      <c r="E182" s="62">
        <v>45846</v>
      </c>
      <c r="F182" s="67">
        <f>ROUND((E182-D182+1)/30,0)*INDEX(DB_Locations!H:H,MATCH(B182,DB_Locations!A:A,0))</f>
        <v>2580</v>
      </c>
      <c r="G182" s="15" t="s">
        <v>67</v>
      </c>
      <c r="H182" s="64">
        <f t="array" ref="H182">IF(C182=1,
    D182-VLOOKUP(B182,DB_Locations!A:D,4,FALSE),
    D182-INDEX(DB_Paiements!$E$2:$E$1000,MATCH(B182&amp;(C182-1),DB_Paiements!$B$2:$B$1000&amp;DB_Paiements!$C$2:$C$1000,0))
)</f>
        <v>0</v>
      </c>
      <c r="I182" s="168"/>
    </row>
    <row r="183" spans="1:14" ht="15.75" x14ac:dyDescent="0.25">
      <c r="A183" s="81" t="s">
        <v>1697</v>
      </c>
      <c r="B183" s="82" t="s">
        <v>1469</v>
      </c>
      <c r="C183" s="82">
        <v>1</v>
      </c>
      <c r="D183" s="83">
        <f ca="1">TODAY()</f>
        <v>45895</v>
      </c>
      <c r="E183" s="83">
        <v>45848</v>
      </c>
      <c r="F183" s="84">
        <f ca="1">ROUND((E183-D183+1)/30,0)*INDEX(DB_Locations!H:H,MATCH(B183,DB_Locations!A:A,0))</f>
        <v>-380</v>
      </c>
      <c r="G183" s="82" t="s">
        <v>67</v>
      </c>
      <c r="H183" s="81">
        <f t="array" aca="1" ref="H183" ca="1">IF(C183=1,
    D183-VLOOKUP(B183,DB_Locations!A:D,4,FALSE),
    D183-INDEX(DB_Paiements!$E$2:$E$1000,MATCH(B183&amp;(C183-1),DB_Paiements!$B$2:$B$1000&amp;DB_Paiements!$C$2:$C$1000,0))
)</f>
        <v>47</v>
      </c>
      <c r="I183" s="168"/>
    </row>
    <row r="184" spans="1:14" ht="15.75" x14ac:dyDescent="0.25">
      <c r="A184" s="81" t="s">
        <v>1698</v>
      </c>
      <c r="B184" s="82" t="s">
        <v>1470</v>
      </c>
      <c r="C184" s="82">
        <v>1</v>
      </c>
      <c r="D184" s="83">
        <f ca="1">TODAY()</f>
        <v>45895</v>
      </c>
      <c r="E184" s="83">
        <v>45807</v>
      </c>
      <c r="F184" s="84">
        <f ca="1">ROUND((E184-D184+1)/30,0)*INDEX(DB_Locations!H:H,MATCH(B184,DB_Locations!A:A,0))</f>
        <v>-570</v>
      </c>
      <c r="G184" s="82" t="s">
        <v>67</v>
      </c>
      <c r="H184" s="81">
        <f t="array" aca="1" ref="H184" ca="1">IF(C184=1,
    D184-VLOOKUP(B184,DB_Locations!A:D,4,FALSE),
    D184-INDEX(DB_Paiements!$E$2:$E$1000,MATCH(B184&amp;(C184-1),DB_Paiements!$B$2:$B$1000&amp;DB_Paiements!$C$2:$C$1000,0))
)</f>
        <v>88</v>
      </c>
      <c r="I184" s="168"/>
    </row>
    <row r="185" spans="1:14" ht="15.75" x14ac:dyDescent="0.25">
      <c r="A185" s="64" t="s">
        <v>1699</v>
      </c>
      <c r="B185" s="15"/>
      <c r="C185" s="15"/>
      <c r="D185" s="62"/>
      <c r="E185" s="62"/>
      <c r="F185" s="67" t="e">
        <f>ROUND((E185-D185+1)/30,0)*INDEX(DB_Locations!H:H,MATCH(B185,DB_Locations!A:A,0))</f>
        <v>#N/A</v>
      </c>
      <c r="G185" s="15"/>
      <c r="H185" s="64" t="e">
        <f t="array" ref="H185">IF(C185=1,
    D185-VLOOKUP(B185,DB_Locations!A:D,4,FALSE),
    D185-INDEX(DB_Paiements!$E$2:$E$1000,MATCH(B185&amp;(C185-1),DB_Paiements!$B$2:$B$1000&amp;DB_Paiements!$C$2:$C$1000,0))
)</f>
        <v>#N/A</v>
      </c>
      <c r="I185" s="168"/>
    </row>
    <row r="186" spans="1:14" ht="15.75" x14ac:dyDescent="0.25">
      <c r="A186" s="64" t="s">
        <v>1700</v>
      </c>
      <c r="B186" s="15" t="s">
        <v>1471</v>
      </c>
      <c r="C186" s="15">
        <v>1</v>
      </c>
      <c r="D186" s="62">
        <v>45811</v>
      </c>
      <c r="E186" s="62">
        <v>45993</v>
      </c>
      <c r="F186" s="67">
        <f>ROUND((E186-D186+1)/30,0)*INDEX(DB_Locations!H:H,MATCH(B186,DB_Locations!A:A,0))</f>
        <v>2580</v>
      </c>
      <c r="G186" s="15" t="s">
        <v>67</v>
      </c>
      <c r="H186" s="64">
        <f t="array" ref="H186">IF(C186=1,
    D186-VLOOKUP(B186,DB_Locations!A:D,4,FALSE),
    D186-INDEX(DB_Paiements!$E$2:$E$1000,MATCH(B186&amp;(C186-1),DB_Paiements!$B$2:$B$1000&amp;DB_Paiements!$C$2:$C$1000,0))
)</f>
        <v>4</v>
      </c>
      <c r="I186" s="168"/>
    </row>
    <row r="187" spans="1:14" ht="15.75" x14ac:dyDescent="0.25">
      <c r="A187" s="64" t="s">
        <v>1701</v>
      </c>
      <c r="B187" s="15" t="s">
        <v>1472</v>
      </c>
      <c r="C187" s="15">
        <v>1</v>
      </c>
      <c r="D187" s="62">
        <f ca="1">TODAY()</f>
        <v>45895</v>
      </c>
      <c r="E187" s="62">
        <v>45832</v>
      </c>
      <c r="F187" s="67">
        <f ca="1">ROUND((E187-D187+1)/30,0)*INDEX(DB_Locations!H:H,MATCH(B187,DB_Locations!A:A,0))</f>
        <v>-380</v>
      </c>
      <c r="G187" s="15" t="s">
        <v>67</v>
      </c>
      <c r="H187" s="64">
        <f t="array" aca="1" ref="H187" ca="1">IF(C187=1,
    D187-VLOOKUP(B187,DB_Locations!A:D,4,FALSE),
    D187-INDEX(DB_Paiements!$E$2:$E$1000,MATCH(B187&amp;(C187-1),DB_Paiements!$B$2:$B$1000&amp;DB_Paiements!$C$2:$C$1000,0))
)</f>
        <v>63</v>
      </c>
      <c r="I187" s="168"/>
    </row>
    <row r="188" spans="1:14" ht="15.75" x14ac:dyDescent="0.25">
      <c r="A188" s="64" t="s">
        <v>1702</v>
      </c>
      <c r="B188" s="15"/>
      <c r="C188" s="15"/>
      <c r="D188" s="62"/>
      <c r="E188" s="62"/>
      <c r="F188" s="67" t="e">
        <f>ROUND((E188-D188+1)/30,0)*INDEX(DB_Locations!H:H,MATCH(B188,DB_Locations!A:A,0))</f>
        <v>#N/A</v>
      </c>
      <c r="G188" s="15"/>
      <c r="H188" s="64" t="e">
        <f t="array" ref="H188">IF(C188=1,
    D188-VLOOKUP(B188,DB_Locations!A:D,4,FALSE),
    D188-INDEX(DB_Paiements!$E$2:$E$1000,MATCH(B188&amp;(C188-1),DB_Paiements!$B$2:$B$1000&amp;DB_Paiements!$C$2:$C$1000,0))
)</f>
        <v>#N/A</v>
      </c>
      <c r="I188" s="168"/>
      <c r="N188" s="80" t="s">
        <v>1971</v>
      </c>
    </row>
    <row r="189" spans="1:14" ht="15.75" x14ac:dyDescent="0.25">
      <c r="A189" s="64" t="s">
        <v>1703</v>
      </c>
      <c r="B189" s="15" t="s">
        <v>1473</v>
      </c>
      <c r="C189" s="15">
        <v>1</v>
      </c>
      <c r="D189" s="62">
        <v>45825</v>
      </c>
      <c r="E189" s="62">
        <v>45916</v>
      </c>
      <c r="F189" s="67">
        <f>ROUND((E189-D189+1)/30,0)*INDEX(DB_Locations!H:H,MATCH(B189,DB_Locations!A:A,0))</f>
        <v>1290</v>
      </c>
      <c r="G189" s="15" t="s">
        <v>67</v>
      </c>
      <c r="H189" s="64">
        <f t="array" ref="H189">IF(C189=1,
    D189-VLOOKUP(B189,DB_Locations!A:D,4,FALSE),
    D189-INDEX(DB_Paiements!$E$2:$E$1000,MATCH(B189&amp;(C189-1),DB_Paiements!$B$2:$B$1000&amp;DB_Paiements!$C$2:$C$1000,0))
)</f>
        <v>7</v>
      </c>
      <c r="I189" s="168"/>
      <c r="N189" s="4" t="e">
        <f>D</f>
        <v>#NAME?</v>
      </c>
    </row>
    <row r="190" spans="1:14" x14ac:dyDescent="0.25">
      <c r="A190" s="79" t="s">
        <v>1704</v>
      </c>
      <c r="B190" s="78" t="s">
        <v>1474</v>
      </c>
      <c r="C190" s="78">
        <v>1</v>
      </c>
      <c r="D190" s="76">
        <f t="shared" ref="D190:E192" ca="1" si="0">TODAY()</f>
        <v>45895</v>
      </c>
      <c r="E190" s="76">
        <v>45843</v>
      </c>
      <c r="F190" s="77">
        <f ca="1">ROUND((E190-D190+1)/30,0)*INDEX(DB_Locations!H:H,MATCH(B190,DB_Locations!A:A,0))</f>
        <v>-380</v>
      </c>
      <c r="G190" s="78" t="s">
        <v>67</v>
      </c>
      <c r="H190" s="79">
        <f ca="1">IF(C190=1,
    D190-VLOOKUP(B190,DB_Locations!A:D,4,FALSE),
    D190-INDEX(DB_Paiements!$E$2:$E$1000,MATCH(B190&amp;(C190-1),DB_Paiements!$B$2:$B$1000&amp;DB_Paiements!$C$2:$C$1000,0))
)</f>
        <v>52</v>
      </c>
      <c r="I190" s="168"/>
    </row>
    <row r="191" spans="1:14" x14ac:dyDescent="0.25">
      <c r="A191" s="79" t="s">
        <v>1705</v>
      </c>
      <c r="B191" s="78" t="s">
        <v>1475</v>
      </c>
      <c r="C191" s="78">
        <v>1</v>
      </c>
      <c r="D191" s="76">
        <f t="shared" ca="1" si="0"/>
        <v>45895</v>
      </c>
      <c r="E191" s="76">
        <v>45878</v>
      </c>
      <c r="F191" s="77">
        <f ca="1">ROUND((E191-D191+1)/30,0)*INDEX(DB_Locations!H:H,MATCH(B191,DB_Locations!A:A,0))</f>
        <v>-190</v>
      </c>
      <c r="G191" s="78" t="s">
        <v>67</v>
      </c>
      <c r="H191" s="79">
        <f t="array" aca="1" ref="H191" ca="1">IF(C191=1,
    D191-VLOOKUP(B191,DB_Locations!A:D,4,FALSE),
    D191-INDEX(DB_Paiements!$E$2:$E$1000,MATCH(B191&amp;(C191-1),DB_Paiements!$B$2:$B$1000&amp;DB_Paiements!$C$2:$C$1000,0))
)</f>
        <v>17</v>
      </c>
      <c r="I191" s="168"/>
    </row>
    <row r="192" spans="1:14" x14ac:dyDescent="0.25">
      <c r="A192" s="79" t="s">
        <v>1706</v>
      </c>
      <c r="B192" s="78" t="s">
        <v>1476</v>
      </c>
      <c r="C192" s="78">
        <v>1</v>
      </c>
      <c r="D192" s="76">
        <f t="shared" ca="1" si="0"/>
        <v>45895</v>
      </c>
      <c r="E192" s="76">
        <v>45866</v>
      </c>
      <c r="F192" s="77">
        <f ca="1">ROUND((E192-D192+1)/30,0)*INDEX(DB_Locations!H:H,MATCH(B192,DB_Locations!A:A,0))</f>
        <v>-430</v>
      </c>
      <c r="G192" s="78" t="s">
        <v>67</v>
      </c>
      <c r="H192" s="79">
        <f t="array" aca="1" ref="H192" ca="1">IF(C192=1,
    D192-VLOOKUP(B192,DB_Locations!A:D,4,FALSE),
    D192-INDEX(DB_Paiements!$E$2:$E$1000,MATCH(B192&amp;(C192-1),DB_Paiements!$B$2:$B$1000&amp;DB_Paiements!$C$2:$C$1000,0))
)</f>
        <v>29</v>
      </c>
      <c r="I192" s="168"/>
      <c r="N192" s="4"/>
    </row>
    <row r="193" spans="1:9" ht="15.75" x14ac:dyDescent="0.25">
      <c r="A193" s="64" t="s">
        <v>1707</v>
      </c>
      <c r="B193" s="15"/>
      <c r="C193" s="15"/>
      <c r="D193" s="62"/>
      <c r="E193" s="62"/>
      <c r="F193" s="67" t="e">
        <f>ROUND((E193-D193+1)/30,0)*INDEX(DB_Locations!H:H,MATCH(B193,DB_Locations!A:A,0))</f>
        <v>#N/A</v>
      </c>
      <c r="G193" s="15"/>
      <c r="H193" s="64" t="e">
        <f t="array" ref="H193">IF(C193=1,
    D193-VLOOKUP(B193,DB_Locations!A:D,4,FALSE),
    D193-INDEX(DB_Paiements!$E$2:$E$1000,MATCH(B193&amp;(C193-1),DB_Paiements!$B$2:$B$1000&amp;DB_Paiements!$C$2:$C$1000,0))
)</f>
        <v>#N/A</v>
      </c>
      <c r="I193" s="168"/>
    </row>
    <row r="194" spans="1:9" ht="15.75" x14ac:dyDescent="0.25">
      <c r="A194" s="64" t="s">
        <v>1708</v>
      </c>
      <c r="B194" s="15" t="s">
        <v>1477</v>
      </c>
      <c r="C194" s="15">
        <v>1</v>
      </c>
      <c r="D194" s="62">
        <v>45867</v>
      </c>
      <c r="E194" s="62">
        <v>45897</v>
      </c>
      <c r="F194" s="67">
        <f>ROUND((E194-D194+1)/30,0)*INDEX(DB_Locations!H:H,MATCH(B194,DB_Locations!A:A,0))</f>
        <v>250</v>
      </c>
      <c r="G194" s="15" t="s">
        <v>626</v>
      </c>
      <c r="H194" s="64">
        <f t="array" ref="H194">IF(C194=1,
    D194-VLOOKUP(B194,DB_Locations!A:D,4,FALSE),
    D194-INDEX(DB_Paiements!$E$2:$E$1000,MATCH(B194&amp;(C194-1),DB_Paiements!$B$2:$B$1000&amp;DB_Paiements!$C$2:$C$1000,0))
)</f>
        <v>0</v>
      </c>
      <c r="I194" s="168"/>
    </row>
    <row r="195" spans="1:9" ht="15.75" x14ac:dyDescent="0.25">
      <c r="A195" s="64" t="s">
        <v>1709</v>
      </c>
      <c r="B195" s="15" t="s">
        <v>1478</v>
      </c>
      <c r="C195" s="15">
        <v>1</v>
      </c>
      <c r="D195" s="62">
        <v>43397</v>
      </c>
      <c r="E195" s="62">
        <v>45692</v>
      </c>
      <c r="F195" s="67">
        <f>ROUND((E195-D195+1)/30,0)*INDEX(DB_Locations!H:H,MATCH(B195,DB_Locations!A:A,0))</f>
        <v>33110</v>
      </c>
      <c r="G195" s="15" t="s">
        <v>67</v>
      </c>
      <c r="H195" s="64">
        <f t="array" ref="H195">IF(C195=1,
    D195-VLOOKUP(B195,DB_Locations!A:D,4,FALSE),
    D195-INDEX(DB_Paiements!$E$2:$E$1000,MATCH(B195&amp;(C195-1),DB_Paiements!$B$2:$B$1000&amp;DB_Paiements!$C$2:$C$1000,0))
)</f>
        <v>0</v>
      </c>
      <c r="I195" s="168"/>
    </row>
    <row r="196" spans="1:9" ht="15.75" x14ac:dyDescent="0.25">
      <c r="A196" s="64" t="s">
        <v>1710</v>
      </c>
      <c r="B196" s="15" t="s">
        <v>1478</v>
      </c>
      <c r="C196" s="15">
        <v>2</v>
      </c>
      <c r="D196" s="62">
        <v>45692</v>
      </c>
      <c r="E196" s="62">
        <v>45872</v>
      </c>
      <c r="F196" s="67">
        <f>ROUND((E196-D196+1)/30,0)*INDEX(DB_Locations!H:H,MATCH(B196,DB_Locations!A:A,0))</f>
        <v>2580</v>
      </c>
      <c r="G196" s="15" t="s">
        <v>67</v>
      </c>
      <c r="H196" s="64">
        <f t="array" ref="H196">IF(C196=1,
    D196-VLOOKUP(B196,DB_Locations!A:D,4,FALSE),
    D196-INDEX(DB_Paiements!$E$2:$E$1000,MATCH(B196&amp;(C196-1),DB_Paiements!$B$2:$B$1000&amp;DB_Paiements!$C$2:$C$1000,0))
)</f>
        <v>0</v>
      </c>
      <c r="I196" s="168"/>
    </row>
    <row r="197" spans="1:9" ht="15.75" x14ac:dyDescent="0.25">
      <c r="A197" s="64" t="s">
        <v>1711</v>
      </c>
      <c r="B197" s="15" t="s">
        <v>1479</v>
      </c>
      <c r="C197" s="15">
        <v>1</v>
      </c>
      <c r="D197" s="62">
        <v>43416</v>
      </c>
      <c r="E197" s="62">
        <v>45743</v>
      </c>
      <c r="F197" s="67">
        <f>ROUND((E197-D197+1)/30,0)*INDEX(DB_Locations!H:H,MATCH(B197,DB_Locations!A:A,0))</f>
        <v>33540</v>
      </c>
      <c r="G197" s="15" t="s">
        <v>67</v>
      </c>
      <c r="H197" s="64">
        <f t="array" ref="H197">IF(C197=1,
    D197-VLOOKUP(B197,DB_Locations!A:D,4,FALSE),
    D197-INDEX(DB_Paiements!$E$2:$E$1000,MATCH(B197&amp;(C197-1),DB_Paiements!$B$2:$B$1000&amp;DB_Paiements!$C$2:$C$1000,0))
)</f>
        <v>0</v>
      </c>
      <c r="I197" s="168"/>
    </row>
    <row r="198" spans="1:9" ht="15.75" x14ac:dyDescent="0.25">
      <c r="A198" s="64" t="s">
        <v>1712</v>
      </c>
      <c r="B198" s="15" t="s">
        <v>1479</v>
      </c>
      <c r="C198" s="15">
        <v>2</v>
      </c>
      <c r="D198" s="62">
        <v>45743</v>
      </c>
      <c r="E198" s="62">
        <v>45926</v>
      </c>
      <c r="F198" s="67">
        <f>ROUND((E198-D198+1)/30,0)*INDEX(DB_Locations!H:H,MATCH(B198,DB_Locations!A:A,0))</f>
        <v>2580</v>
      </c>
      <c r="G198" s="15" t="s">
        <v>67</v>
      </c>
      <c r="H198" s="64">
        <f t="array" ref="H198">IF(C198=1,
    D198-VLOOKUP(B198,DB_Locations!A:D,4,FALSE),
    D198-INDEX(DB_Paiements!$E$2:$E$1000,MATCH(B198&amp;(C198-1),DB_Paiements!$B$2:$B$1000&amp;DB_Paiements!$C$2:$C$1000,0))
)</f>
        <v>0</v>
      </c>
      <c r="I198" s="168"/>
    </row>
    <row r="199" spans="1:9" ht="15.75" x14ac:dyDescent="0.25">
      <c r="A199" s="64" t="s">
        <v>1919</v>
      </c>
      <c r="B199" s="15" t="s">
        <v>1480</v>
      </c>
      <c r="C199" s="15">
        <v>1</v>
      </c>
      <c r="D199" s="62">
        <v>43487</v>
      </c>
      <c r="E199" s="62">
        <v>45827</v>
      </c>
      <c r="F199" s="67">
        <f>ROUND((E199-D199+1)/30,0)*INDEX(DB_Locations!H:H,MATCH(B199,DB_Locations!A:A,0))</f>
        <v>33540</v>
      </c>
      <c r="G199" s="15" t="s">
        <v>67</v>
      </c>
      <c r="H199" s="64">
        <f t="array" ref="H199">IF(C199=1,
    D199-VLOOKUP(B199,DB_Locations!A:D,4,FALSE),
    D199-INDEX(DB_Paiements!$E$2:$E$1000,MATCH(B199&amp;(C199-1),DB_Paiements!$B$2:$B$1000&amp;DB_Paiements!$C$2:$C$1000,0))
)</f>
        <v>0</v>
      </c>
      <c r="I199" s="168"/>
    </row>
    <row r="200" spans="1:9" ht="15.75" x14ac:dyDescent="0.25">
      <c r="A200" s="64" t="s">
        <v>1920</v>
      </c>
      <c r="B200" s="15" t="s">
        <v>1480</v>
      </c>
      <c r="C200" s="15">
        <v>2</v>
      </c>
      <c r="D200" s="62">
        <v>45827</v>
      </c>
      <c r="E200" s="62">
        <v>46009</v>
      </c>
      <c r="F200" s="67">
        <f>ROUND((E200-D200+1)/30,0)*INDEX(DB_Locations!H:H,MATCH(B200,DB_Locations!A:A,0))</f>
        <v>2580</v>
      </c>
      <c r="G200" s="15" t="s">
        <v>67</v>
      </c>
      <c r="H200" s="64">
        <f t="array" ref="H200">IF(C200=1,
    D200-VLOOKUP(B200,DB_Locations!A:D,4,FALSE),
    D200-INDEX(DB_Paiements!$E$2:$E$1000,MATCH(B200&amp;(C200-1),DB_Paiements!$B$2:$B$1000&amp;DB_Paiements!$C$2:$C$1000,0))
)</f>
        <v>0</v>
      </c>
      <c r="I200" s="111"/>
    </row>
    <row r="201" spans="1:9" ht="15.75" x14ac:dyDescent="0.25">
      <c r="A201" s="64" t="s">
        <v>1921</v>
      </c>
      <c r="B201" s="15" t="s">
        <v>1481</v>
      </c>
      <c r="C201" s="15">
        <v>1</v>
      </c>
      <c r="D201" s="62">
        <v>43530</v>
      </c>
      <c r="E201" s="62">
        <v>45800</v>
      </c>
      <c r="F201" s="67">
        <f>ROUND((E201-D201+1)/30,0)*INDEX(DB_Locations!H:H,MATCH(B201,DB_Locations!A:A,0))</f>
        <v>32680</v>
      </c>
      <c r="G201" s="15" t="s">
        <v>67</v>
      </c>
      <c r="H201" s="64">
        <f t="array" ref="H201">IF(C201=1,
    D201-VLOOKUP(B201,DB_Locations!A:D,4,FALSE),
    D201-INDEX(DB_Paiements!$E$2:$E$1000,MATCH(B201&amp;(C201-1),DB_Paiements!$B$2:$B$1000&amp;DB_Paiements!$C$2:$C$1000,0))
)</f>
        <v>0</v>
      </c>
      <c r="I201" s="111"/>
    </row>
    <row r="202" spans="1:9" ht="15.75" x14ac:dyDescent="0.25">
      <c r="A202" s="64" t="s">
        <v>1922</v>
      </c>
      <c r="B202" s="15" t="s">
        <v>1481</v>
      </c>
      <c r="C202" s="15">
        <v>2</v>
      </c>
      <c r="D202" s="62">
        <v>45800</v>
      </c>
      <c r="E202" s="62">
        <v>45983</v>
      </c>
      <c r="F202" s="67">
        <f>ROUND((E202-D202+1)/30,0)*INDEX(DB_Locations!H:H,MATCH(B202,DB_Locations!A:A,0))</f>
        <v>2580</v>
      </c>
      <c r="G202" s="15" t="s">
        <v>67</v>
      </c>
      <c r="H202" s="64">
        <f t="array" ref="H202">IF(C202=1,
    D202-VLOOKUP(B202,DB_Locations!A:D,4,FALSE),
    D202-INDEX(DB_Paiements!$E$2:$E$1000,MATCH(B202&amp;(C202-1),DB_Paiements!$B$2:$B$1000&amp;DB_Paiements!$C$2:$C$1000,0))
)</f>
        <v>0</v>
      </c>
      <c r="I202" s="111"/>
    </row>
    <row r="203" spans="1:9" ht="15.75" x14ac:dyDescent="0.25">
      <c r="A203" s="64" t="s">
        <v>1923</v>
      </c>
      <c r="B203" s="15" t="s">
        <v>1482</v>
      </c>
      <c r="C203" s="15">
        <v>1</v>
      </c>
      <c r="D203" s="62">
        <v>43964</v>
      </c>
      <c r="E203" s="62">
        <v>45647</v>
      </c>
      <c r="F203" s="67">
        <f>ROUND((E203-D203+1)/30,0)*INDEX(DB_Locations!H:H,MATCH(B203,DB_Locations!A:A,0))</f>
        <v>24080</v>
      </c>
      <c r="G203" s="15" t="s">
        <v>67</v>
      </c>
      <c r="H203" s="64">
        <f t="array" ref="H203">IF(C203=1,
    D203-VLOOKUP(B203,DB_Locations!A:D,4,FALSE),
    D203-INDEX(DB_Paiements!$E$2:$E$1000,MATCH(B203&amp;(C203-1),DB_Paiements!$B$2:$B$1000&amp;DB_Paiements!$C$2:$C$1000,0))
)</f>
        <v>0</v>
      </c>
      <c r="I203" s="111"/>
    </row>
    <row r="204" spans="1:9" ht="15.75" x14ac:dyDescent="0.25">
      <c r="A204" s="64" t="s">
        <v>1924</v>
      </c>
      <c r="B204" s="15" t="s">
        <v>1482</v>
      </c>
      <c r="C204" s="15">
        <v>2</v>
      </c>
      <c r="D204" s="62">
        <v>45647</v>
      </c>
      <c r="E204" s="62">
        <v>45828</v>
      </c>
      <c r="F204" s="67">
        <f>ROUND((E204-D204+1)/30,0)*INDEX(DB_Locations!H:H,MATCH(B204,DB_Locations!A:A,0))</f>
        <v>2580</v>
      </c>
      <c r="G204" s="15" t="s">
        <v>67</v>
      </c>
      <c r="H204" s="64">
        <f t="array" ref="H204">IF(C204=1,
    D204-VLOOKUP(B204,DB_Locations!A:D,4,FALSE),
    D204-INDEX(DB_Paiements!$E$2:$E$1000,MATCH(B204&amp;(C204-1),DB_Paiements!$B$2:$B$1000&amp;DB_Paiements!$C$2:$C$1000,0))
)</f>
        <v>0</v>
      </c>
      <c r="I204" s="111"/>
    </row>
    <row r="205" spans="1:9" ht="15.75" x14ac:dyDescent="0.25">
      <c r="A205" s="64" t="s">
        <v>1925</v>
      </c>
      <c r="B205" s="15" t="s">
        <v>1483</v>
      </c>
      <c r="C205" s="15">
        <v>1</v>
      </c>
      <c r="D205" s="62">
        <v>44046</v>
      </c>
      <c r="E205" s="62">
        <v>45681</v>
      </c>
      <c r="F205" s="67">
        <f>ROUND((E205-D205+1)/30,0)*INDEX(DB_Locations!H:H,MATCH(B205,DB_Locations!A:A,0))</f>
        <v>23650</v>
      </c>
      <c r="G205" s="15" t="s">
        <v>67</v>
      </c>
      <c r="H205" s="64">
        <f t="array" ref="H205">IF(C205=1,
    D205-VLOOKUP(B205,DB_Locations!A:D,4,FALSE),
    D205-INDEX(DB_Paiements!$E$2:$E$1000,MATCH(B205&amp;(C205-1),DB_Paiements!$B$2:$B$1000&amp;DB_Paiements!$C$2:$C$1000,0))
)</f>
        <v>0</v>
      </c>
      <c r="I205" s="111"/>
    </row>
    <row r="206" spans="1:9" ht="15.75" x14ac:dyDescent="0.25">
      <c r="A206" s="64" t="s">
        <v>1926</v>
      </c>
      <c r="B206" s="15" t="s">
        <v>1483</v>
      </c>
      <c r="C206" s="15">
        <v>2</v>
      </c>
      <c r="D206" s="62">
        <v>45681</v>
      </c>
      <c r="E206" s="62">
        <v>45861</v>
      </c>
      <c r="F206" s="67">
        <f>ROUND((E206-D206+1)/30,0)*INDEX(DB_Locations!H:H,MATCH(B206,DB_Locations!A:A,0))</f>
        <v>2580</v>
      </c>
      <c r="G206" s="15" t="s">
        <v>67</v>
      </c>
      <c r="H206" s="64">
        <f t="array" ref="H206">IF(C206=1,
    D206-VLOOKUP(B206,DB_Locations!A:D,4,FALSE),
    D206-INDEX(DB_Paiements!$E$2:$E$1000,MATCH(B206&amp;(C206-1),DB_Paiements!$B$2:$B$1000&amp;DB_Paiements!$C$2:$C$1000,0))
)</f>
        <v>0</v>
      </c>
      <c r="I206" s="111"/>
    </row>
    <row r="207" spans="1:9" ht="15.75" x14ac:dyDescent="0.25">
      <c r="A207" s="64" t="s">
        <v>1927</v>
      </c>
      <c r="B207" s="15" t="s">
        <v>1484</v>
      </c>
      <c r="C207" s="15">
        <v>1</v>
      </c>
      <c r="D207" s="62">
        <v>44076</v>
      </c>
      <c r="E207" s="62">
        <v>45753</v>
      </c>
      <c r="F207" s="67">
        <f>ROUND((E207-D207+1)/30,0)*INDEX(DB_Locations!H:H,MATCH(B207,DB_Locations!A:A,0))</f>
        <v>24080</v>
      </c>
      <c r="G207" s="15" t="s">
        <v>67</v>
      </c>
      <c r="H207" s="64">
        <f t="array" ref="H207">IF(C207=1,
    D207-VLOOKUP(B207,DB_Locations!A:D,4,FALSE),
    D207-INDEX(DB_Paiements!$E$2:$E$1000,MATCH(B207&amp;(C207-1),DB_Paiements!$B$2:$B$1000&amp;DB_Paiements!$C$2:$C$1000,0))
)</f>
        <v>0</v>
      </c>
      <c r="I207" s="111"/>
    </row>
    <row r="208" spans="1:9" ht="15.75" x14ac:dyDescent="0.25">
      <c r="A208" s="64" t="s">
        <v>1928</v>
      </c>
      <c r="B208" s="15" t="s">
        <v>1484</v>
      </c>
      <c r="C208" s="15">
        <v>2</v>
      </c>
      <c r="D208" s="62">
        <v>45753</v>
      </c>
      <c r="E208" s="62">
        <v>45935</v>
      </c>
      <c r="F208" s="67">
        <f>ROUND((E208-D208+1)/30,0)*INDEX(DB_Locations!H:H,MATCH(B208,DB_Locations!A:A,0))</f>
        <v>2580</v>
      </c>
      <c r="G208" s="15" t="s">
        <v>67</v>
      </c>
      <c r="H208" s="64">
        <f t="array" ref="H208">IF(C208=1,
    D208-VLOOKUP(B208,DB_Locations!A:D,4,FALSE),
    D208-INDEX(DB_Paiements!$E$2:$E$1000,MATCH(B208&amp;(C208-1),DB_Paiements!$B$2:$B$1000&amp;DB_Paiements!$C$2:$C$1000,0))
)</f>
        <v>0</v>
      </c>
      <c r="I208" s="111"/>
    </row>
    <row r="209" spans="1:9" ht="15.75" x14ac:dyDescent="0.25">
      <c r="A209" s="64" t="s">
        <v>1929</v>
      </c>
      <c r="B209" s="15" t="s">
        <v>1485</v>
      </c>
      <c r="C209" s="15">
        <v>1</v>
      </c>
      <c r="D209" s="62">
        <v>44149</v>
      </c>
      <c r="E209" s="62">
        <v>45657</v>
      </c>
      <c r="F209" s="67">
        <f>ROUND((E209-D209+1)/30,0)*INDEX(DB_Locations!H:H,MATCH(B209,DB_Locations!A:A,0))</f>
        <v>21500</v>
      </c>
      <c r="G209" s="15" t="s">
        <v>67</v>
      </c>
      <c r="H209" s="64">
        <f t="array" ref="H209">IF(C209=1,
    D209-VLOOKUP(B209,DB_Locations!A:D,4,FALSE),
    D209-INDEX(DB_Paiements!$E$2:$E$1000,MATCH(B209&amp;(C209-1),DB_Paiements!$B$2:$B$1000&amp;DB_Paiements!$C$2:$C$1000,0))
)</f>
        <v>0</v>
      </c>
      <c r="I209" s="111"/>
    </row>
    <row r="210" spans="1:9" ht="15.75" x14ac:dyDescent="0.25">
      <c r="A210" s="64" t="s">
        <v>1930</v>
      </c>
      <c r="B210" s="15" t="s">
        <v>1485</v>
      </c>
      <c r="C210" s="15">
        <v>2</v>
      </c>
      <c r="D210" s="62">
        <v>45657</v>
      </c>
      <c r="E210" s="62">
        <v>45838</v>
      </c>
      <c r="F210" s="67">
        <f>ROUND((E210-D210+1)/30,0)*INDEX(DB_Locations!H:H,MATCH(B210,DB_Locations!A:A,0))</f>
        <v>2580</v>
      </c>
      <c r="G210" s="15" t="s">
        <v>67</v>
      </c>
      <c r="H210" s="64">
        <f t="array" ref="H210">IF(C210=1,
    D210-VLOOKUP(B210,DB_Locations!A:D,4,FALSE),
    D210-INDEX(DB_Paiements!$E$2:$E$1000,MATCH(B210&amp;(C210-1),DB_Paiements!$B$2:$B$1000&amp;DB_Paiements!$C$2:$C$1000,0))
)</f>
        <v>0</v>
      </c>
      <c r="I210" s="111"/>
    </row>
    <row r="211" spans="1:9" ht="15.75" x14ac:dyDescent="0.25">
      <c r="A211" s="64" t="s">
        <v>1931</v>
      </c>
      <c r="B211" s="15" t="s">
        <v>1486</v>
      </c>
      <c r="C211" s="15">
        <v>1</v>
      </c>
      <c r="D211" s="62">
        <v>44203</v>
      </c>
      <c r="E211" s="62">
        <v>45684</v>
      </c>
      <c r="F211" s="67">
        <f>ROUND((E211-D211+1)/30,0)*INDEX(DB_Locations!H:H,MATCH(B211,DB_Locations!A:A,0))</f>
        <v>21070</v>
      </c>
      <c r="G211" s="15" t="s">
        <v>67</v>
      </c>
      <c r="H211" s="64">
        <f t="array" ref="H211">IF(C211=1,
    D211-VLOOKUP(B211,DB_Locations!A:D,4,FALSE),
    D211-INDEX(DB_Paiements!$E$2:$E$1000,MATCH(B211&amp;(C211-1),DB_Paiements!$B$2:$B$1000&amp;DB_Paiements!$C$2:$C$1000,0))
)</f>
        <v>0</v>
      </c>
      <c r="I211" s="111"/>
    </row>
    <row r="212" spans="1:9" ht="15.75" x14ac:dyDescent="0.25">
      <c r="A212" s="64" t="s">
        <v>1932</v>
      </c>
      <c r="B212" s="15" t="s">
        <v>1486</v>
      </c>
      <c r="C212" s="15">
        <v>2</v>
      </c>
      <c r="D212" s="62">
        <v>45684</v>
      </c>
      <c r="E212" s="62">
        <v>45864</v>
      </c>
      <c r="F212" s="67">
        <f>ROUND((E212-D212+1)/30,0)*INDEX(DB_Locations!H:H,MATCH(B212,DB_Locations!A:A,0))</f>
        <v>2580</v>
      </c>
      <c r="G212" s="15" t="s">
        <v>67</v>
      </c>
      <c r="H212" s="64">
        <f t="array" ref="H212">IF(C212=1,
    D212-VLOOKUP(B212,DB_Locations!A:D,4,FALSE),
    D212-INDEX(DB_Paiements!$E$2:$E$1000,MATCH(B212&amp;(C212-1),DB_Paiements!$B$2:$B$1000&amp;DB_Paiements!$C$2:$C$1000,0))
)</f>
        <v>0</v>
      </c>
      <c r="I212" s="111"/>
    </row>
    <row r="213" spans="1:9" ht="15.75" x14ac:dyDescent="0.25">
      <c r="A213" s="64" t="s">
        <v>1933</v>
      </c>
      <c r="B213" s="15" t="s">
        <v>1487</v>
      </c>
      <c r="C213" s="15">
        <v>1</v>
      </c>
      <c r="D213" s="62">
        <v>44258</v>
      </c>
      <c r="E213" s="62">
        <v>45786</v>
      </c>
      <c r="F213" s="67">
        <f>ROUND((E213-D213+1)/30,0)*INDEX(DB_Locations!H:H,MATCH(B213,DB_Locations!A:A,0))</f>
        <v>21930</v>
      </c>
      <c r="G213" s="15" t="s">
        <v>67</v>
      </c>
      <c r="H213" s="64">
        <f t="array" ref="H213">IF(C213=1,
    D213-VLOOKUP(B213,DB_Locations!A:D,4,FALSE),
    D213-INDEX(DB_Paiements!$E$2:$E$1000,MATCH(B213&amp;(C213-1),DB_Paiements!$B$2:$B$1000&amp;DB_Paiements!$C$2:$C$1000,0))
)</f>
        <v>0</v>
      </c>
      <c r="I213" s="111"/>
    </row>
    <row r="214" spans="1:9" ht="15.75" x14ac:dyDescent="0.25">
      <c r="A214" s="64" t="s">
        <v>1934</v>
      </c>
      <c r="B214" s="15" t="s">
        <v>1487</v>
      </c>
      <c r="C214" s="15">
        <v>2</v>
      </c>
      <c r="D214" s="62">
        <v>45786</v>
      </c>
      <c r="E214" s="62">
        <v>45969</v>
      </c>
      <c r="F214" s="67">
        <f>ROUND((E214-D214+1)/30,0)*INDEX(DB_Locations!H:H,MATCH(B214,DB_Locations!A:A,0))</f>
        <v>2580</v>
      </c>
      <c r="G214" s="15" t="s">
        <v>67</v>
      </c>
      <c r="H214" s="64">
        <f t="array" ref="H214">IF(C214=1,
    D214-VLOOKUP(B214,DB_Locations!A:D,4,FALSE),
    D214-INDEX(DB_Paiements!$E$2:$E$1000,MATCH(B214&amp;(C214-1),DB_Paiements!$B$2:$B$1000&amp;DB_Paiements!$C$2:$C$1000,0))
)</f>
        <v>0</v>
      </c>
      <c r="I214" s="111"/>
    </row>
    <row r="215" spans="1:9" ht="15.75" x14ac:dyDescent="0.25">
      <c r="A215" s="64" t="s">
        <v>1935</v>
      </c>
      <c r="B215" s="15" t="s">
        <v>1488</v>
      </c>
      <c r="C215" s="15">
        <v>1</v>
      </c>
      <c r="D215" s="62">
        <v>44428</v>
      </c>
      <c r="E215" s="62">
        <v>45688</v>
      </c>
      <c r="F215" s="67">
        <f>ROUND((E215-D215+1)/30,0)*INDEX(DB_Locations!H:H,MATCH(B215,DB_Locations!A:A,0))</f>
        <v>18060</v>
      </c>
      <c r="G215" s="15" t="s">
        <v>67</v>
      </c>
      <c r="H215" s="64">
        <f t="array" ref="H215">IF(C215=1,
    D215-VLOOKUP(B215,DB_Locations!A:D,4,FALSE),
    D215-INDEX(DB_Paiements!$E$2:$E$1000,MATCH(B215&amp;(C215-1),DB_Paiements!$B$2:$B$1000&amp;DB_Paiements!$C$2:$C$1000,0))
)</f>
        <v>0</v>
      </c>
      <c r="I215" s="111"/>
    </row>
    <row r="216" spans="1:9" ht="15.75" x14ac:dyDescent="0.25">
      <c r="A216" s="64" t="s">
        <v>1936</v>
      </c>
      <c r="B216" s="15" t="s">
        <v>1488</v>
      </c>
      <c r="C216" s="15">
        <v>2</v>
      </c>
      <c r="D216" s="62">
        <v>45688</v>
      </c>
      <c r="E216" s="62">
        <v>45868</v>
      </c>
      <c r="F216" s="67">
        <f>ROUND((E216-D216+1)/30,0)*INDEX(DB_Locations!H:H,MATCH(B216,DB_Locations!A:A,0))</f>
        <v>2580</v>
      </c>
      <c r="G216" s="15" t="s">
        <v>67</v>
      </c>
      <c r="H216" s="64">
        <f t="array" ref="H216">IF(C216=1,
    D216-VLOOKUP(B216,DB_Locations!A:D,4,FALSE),
    D216-INDEX(DB_Paiements!$E$2:$E$1000,MATCH(B216&amp;(C216-1),DB_Paiements!$B$2:$B$1000&amp;DB_Paiements!$C$2:$C$1000,0))
)</f>
        <v>0</v>
      </c>
      <c r="I216" s="111"/>
    </row>
    <row r="217" spans="1:9" ht="15.75" x14ac:dyDescent="0.25">
      <c r="A217" s="64" t="s">
        <v>1937</v>
      </c>
      <c r="B217" s="15" t="s">
        <v>1488</v>
      </c>
      <c r="C217" s="15">
        <v>3</v>
      </c>
      <c r="D217" s="62">
        <v>45868</v>
      </c>
      <c r="E217" s="62">
        <v>46081</v>
      </c>
      <c r="F217" s="67">
        <f>ROUND((E217-D217+1)/30,0)*INDEX(DB_Locations!H:H,MATCH(B217,DB_Locations!A:A,0))</f>
        <v>3010</v>
      </c>
      <c r="G217" s="15" t="s">
        <v>67</v>
      </c>
      <c r="H217" s="64">
        <f t="array" ref="H217">IF(C217=1,
    D217-VLOOKUP(B217,DB_Locations!A:D,4,FALSE),
    D217-INDEX(DB_Paiements!$E$2:$E$1000,MATCH(B217&amp;(C217-1),DB_Paiements!$B$2:$B$1000&amp;DB_Paiements!$C$2:$C$1000,0))
)</f>
        <v>0</v>
      </c>
      <c r="I217" s="111"/>
    </row>
    <row r="218" spans="1:9" ht="15.75" x14ac:dyDescent="0.25">
      <c r="A218" s="64" t="s">
        <v>1938</v>
      </c>
      <c r="B218" s="15" t="s">
        <v>1489</v>
      </c>
      <c r="C218" s="15">
        <v>1</v>
      </c>
      <c r="D218" s="62">
        <v>44553</v>
      </c>
      <c r="E218" s="62">
        <v>45726</v>
      </c>
      <c r="F218" s="67">
        <f>ROUND((E218-D218+1)/30,0)*INDEX(DB_Locations!H:H,MATCH(B218,DB_Locations!A:A,0))</f>
        <v>16770</v>
      </c>
      <c r="G218" s="15" t="s">
        <v>67</v>
      </c>
      <c r="H218" s="64">
        <f t="array" ref="H218">IF(C218=1,
    D218-VLOOKUP(B218,DB_Locations!A:D,4,FALSE),
    D218-INDEX(DB_Paiements!$E$2:$E$1000,MATCH(B218&amp;(C218-1),DB_Paiements!$B$2:$B$1000&amp;DB_Paiements!$C$2:$C$1000,0))
)</f>
        <v>0</v>
      </c>
      <c r="I218" s="111"/>
    </row>
    <row r="219" spans="1:9" ht="15.75" x14ac:dyDescent="0.25">
      <c r="A219" s="64" t="s">
        <v>1944</v>
      </c>
      <c r="B219" s="15" t="s">
        <v>1489</v>
      </c>
      <c r="C219" s="15">
        <v>2</v>
      </c>
      <c r="D219" s="62">
        <v>45726</v>
      </c>
      <c r="E219" s="62">
        <v>45909</v>
      </c>
      <c r="F219" s="67">
        <f>ROUND((E219-D219+1)/30,0)*INDEX(DB_Locations!H:H,MATCH(B219,DB_Locations!A:A,0))</f>
        <v>2580</v>
      </c>
      <c r="G219" s="15" t="s">
        <v>67</v>
      </c>
      <c r="H219" s="64">
        <f t="array" ref="H219">IF(C219=1,
    D219-VLOOKUP(B219,DB_Locations!A:D,4,FALSE),
    D219-INDEX(DB_Paiements!$E$2:$E$1000,MATCH(B219&amp;(C219-1),DB_Paiements!$B$2:$B$1000&amp;DB_Paiements!$C$2:$C$1000,0))
)</f>
        <v>0</v>
      </c>
      <c r="I219" s="111"/>
    </row>
    <row r="220" spans="1:9" ht="15.75" x14ac:dyDescent="0.25">
      <c r="A220" s="64" t="s">
        <v>1945</v>
      </c>
      <c r="B220" s="15" t="s">
        <v>1490</v>
      </c>
      <c r="C220" s="15">
        <v>1</v>
      </c>
      <c r="D220" s="62">
        <v>44938</v>
      </c>
      <c r="E220" s="62">
        <v>45782</v>
      </c>
      <c r="F220" s="67">
        <f>ROUND((E220-D220+1)/30,0)*INDEX(DB_Locations!H:H,MATCH(B220,DB_Locations!A:A,0))</f>
        <v>12040</v>
      </c>
      <c r="G220" s="15" t="s">
        <v>67</v>
      </c>
      <c r="H220" s="64">
        <f t="array" ref="H220">IF(C220=1,
    D220-VLOOKUP(B220,DB_Locations!A:D,4,FALSE),
    D220-INDEX(DB_Paiements!$E$2:$E$1000,MATCH(B220&amp;(C220-1),DB_Paiements!$B$2:$B$1000&amp;DB_Paiements!$C$2:$C$1000,0))
)</f>
        <v>0</v>
      </c>
      <c r="I220" s="111"/>
    </row>
    <row r="221" spans="1:9" ht="15.75" x14ac:dyDescent="0.25">
      <c r="A221" s="64" t="s">
        <v>1946</v>
      </c>
      <c r="B221" s="15" t="s">
        <v>1490</v>
      </c>
      <c r="C221" s="15">
        <v>2</v>
      </c>
      <c r="D221" s="62">
        <v>45782</v>
      </c>
      <c r="E221" s="62">
        <v>45965</v>
      </c>
      <c r="F221" s="67">
        <f>ROUND((E221-D221+1)/30,0)*INDEX(DB_Locations!H:H,MATCH(B221,DB_Locations!A:A,0))</f>
        <v>2580</v>
      </c>
      <c r="G221" s="15" t="s">
        <v>67</v>
      </c>
      <c r="H221" s="64">
        <f t="array" ref="H221">IF(C221=1,
    D221-VLOOKUP(B221,DB_Locations!A:D,4,FALSE),
    D221-INDEX(DB_Paiements!$E$2:$E$1000,MATCH(B221&amp;(C221-1),DB_Paiements!$B$2:$B$1000&amp;DB_Paiements!$C$2:$C$1000,0))
)</f>
        <v>0</v>
      </c>
      <c r="I221" s="111"/>
    </row>
    <row r="222" spans="1:9" ht="15.75" x14ac:dyDescent="0.25">
      <c r="A222" s="64" t="s">
        <v>1947</v>
      </c>
      <c r="B222" s="15" t="s">
        <v>1491</v>
      </c>
      <c r="C222" s="15">
        <v>1</v>
      </c>
      <c r="D222" s="62">
        <v>44982</v>
      </c>
      <c r="E222" s="62">
        <v>45771</v>
      </c>
      <c r="F222" s="67">
        <f>ROUND((E222-D222+1)/30,0)*INDEX(DB_Locations!H:H,MATCH(B222,DB_Locations!A:A,0))</f>
        <v>11180</v>
      </c>
      <c r="G222" s="15" t="s">
        <v>67</v>
      </c>
      <c r="H222" s="64">
        <f t="array" ref="H222">IF(C222=1,
    D222-VLOOKUP(B222,DB_Locations!A:D,4,FALSE),
    D222-INDEX(DB_Paiements!$E$2:$E$1000,MATCH(B222&amp;(C222-1),DB_Paiements!$B$2:$B$1000&amp;DB_Paiements!$C$2:$C$1000,0))
)</f>
        <v>0</v>
      </c>
      <c r="I222" s="111"/>
    </row>
    <row r="223" spans="1:9" ht="15.75" x14ac:dyDescent="0.25">
      <c r="A223" s="64" t="s">
        <v>1948</v>
      </c>
      <c r="B223" s="15" t="s">
        <v>1491</v>
      </c>
      <c r="C223" s="15">
        <v>2</v>
      </c>
      <c r="D223" s="62">
        <v>45771</v>
      </c>
      <c r="E223" s="62">
        <v>45953</v>
      </c>
      <c r="F223" s="67">
        <f>ROUND((E223-D223+1)/30,0)*INDEX(DB_Locations!H:H,MATCH(B223,DB_Locations!A:A,0))</f>
        <v>2580</v>
      </c>
      <c r="G223" s="15" t="s">
        <v>67</v>
      </c>
      <c r="H223" s="64">
        <f t="array" ref="H223">IF(C223=1,
    D223-VLOOKUP(B223,DB_Locations!A:D,4,FALSE),
    D223-INDEX(DB_Paiements!$E$2:$E$1000,MATCH(B223&amp;(C223-1),DB_Paiements!$B$2:$B$1000&amp;DB_Paiements!$C$2:$C$1000,0))
)</f>
        <v>0</v>
      </c>
      <c r="I223" s="111"/>
    </row>
    <row r="224" spans="1:9" ht="15.75" x14ac:dyDescent="0.25">
      <c r="A224" s="64" t="s">
        <v>1949</v>
      </c>
      <c r="B224" s="15" t="s">
        <v>1492</v>
      </c>
      <c r="C224" s="15">
        <v>1</v>
      </c>
      <c r="D224" s="62">
        <v>44985</v>
      </c>
      <c r="E224" s="62">
        <v>45623</v>
      </c>
      <c r="F224" s="67">
        <f>ROUND((E224-D224+1)/30,0)*INDEX(DB_Locations!H:H,MATCH(B224,DB_Locations!A:A,0))</f>
        <v>9030</v>
      </c>
      <c r="G224" s="15" t="s">
        <v>67</v>
      </c>
      <c r="H224" s="64">
        <f t="array" ref="H224">IF(C224=1,
    D224-VLOOKUP(B224,DB_Locations!A:D,4,FALSE),
    D224-INDEX(DB_Paiements!$E$2:$E$1000,MATCH(B224&amp;(C224-1),DB_Paiements!$B$2:$B$1000&amp;DB_Paiements!$C$2:$C$1000,0))
)</f>
        <v>0</v>
      </c>
      <c r="I224" s="111"/>
    </row>
    <row r="225" spans="1:9" ht="15.75" x14ac:dyDescent="0.25">
      <c r="A225" s="64" t="s">
        <v>1950</v>
      </c>
      <c r="B225" s="15" t="s">
        <v>1492</v>
      </c>
      <c r="C225" s="15">
        <v>2</v>
      </c>
      <c r="D225" s="62">
        <v>45623</v>
      </c>
      <c r="E225" s="62">
        <v>45803</v>
      </c>
      <c r="F225" s="67">
        <f>ROUND((E225-D225+1)/30,0)*INDEX(DB_Locations!H:H,MATCH(B225,DB_Locations!A:A,0))</f>
        <v>2580</v>
      </c>
      <c r="G225" s="15" t="s">
        <v>67</v>
      </c>
      <c r="H225" s="64">
        <f t="array" ref="H225">IF(C225=1,
    D225-VLOOKUP(B225,DB_Locations!A:D,4,FALSE),
    D225-INDEX(DB_Paiements!$E$2:$E$1000,MATCH(B225&amp;(C225-1),DB_Paiements!$B$2:$B$1000&amp;DB_Paiements!$C$2:$C$1000,0))
)</f>
        <v>0</v>
      </c>
      <c r="I225" s="111"/>
    </row>
    <row r="226" spans="1:9" ht="15.75" x14ac:dyDescent="0.25">
      <c r="A226" s="64" t="s">
        <v>1951</v>
      </c>
      <c r="B226" s="15" t="s">
        <v>1493</v>
      </c>
      <c r="C226" s="15">
        <v>1</v>
      </c>
      <c r="D226" s="62">
        <v>44995</v>
      </c>
      <c r="E226" s="62">
        <v>45631</v>
      </c>
      <c r="F226" s="67">
        <f>ROUND((E226-D226+1)/30,0)*INDEX(DB_Locations!H:H,MATCH(B226,DB_Locations!A:A,0))</f>
        <v>9030</v>
      </c>
      <c r="G226" s="15" t="s">
        <v>67</v>
      </c>
      <c r="H226" s="64">
        <f t="array" ref="H226">IF(C226=1,
    D226-VLOOKUP(B226,DB_Locations!A:D,4,FALSE),
    D226-INDEX(DB_Paiements!$E$2:$E$1000,MATCH(B226&amp;(C226-1),DB_Paiements!$B$2:$B$1000&amp;DB_Paiements!$C$2:$C$1000,0))
)</f>
        <v>0</v>
      </c>
      <c r="I226" s="111"/>
    </row>
    <row r="227" spans="1:9" ht="15.75" x14ac:dyDescent="0.25">
      <c r="A227" s="64" t="s">
        <v>1952</v>
      </c>
      <c r="B227" s="15" t="s">
        <v>1493</v>
      </c>
      <c r="C227" s="15">
        <v>2</v>
      </c>
      <c r="D227" s="62">
        <v>45631</v>
      </c>
      <c r="E227" s="62">
        <v>45812</v>
      </c>
      <c r="F227" s="67">
        <f>ROUND((E227-D227+1)/30,0)*INDEX(DB_Locations!H:H,MATCH(B227,DB_Locations!A:A,0))</f>
        <v>2580</v>
      </c>
      <c r="G227" s="15" t="s">
        <v>67</v>
      </c>
      <c r="H227" s="64">
        <f t="array" ref="H227">IF(C227=1,
    D227-VLOOKUP(B227,DB_Locations!A:D,4,FALSE),
    D227-INDEX(DB_Paiements!$E$2:$E$1000,MATCH(B227&amp;(C227-1),DB_Paiements!$B$2:$B$1000&amp;DB_Paiements!$C$2:$C$1000,0))
)</f>
        <v>0</v>
      </c>
      <c r="I227" s="111"/>
    </row>
    <row r="228" spans="1:9" ht="15.75" x14ac:dyDescent="0.25">
      <c r="A228" s="64" t="s">
        <v>1953</v>
      </c>
      <c r="B228" s="15" t="s">
        <v>1494</v>
      </c>
      <c r="C228" s="15">
        <v>1</v>
      </c>
      <c r="D228" s="62">
        <v>45091</v>
      </c>
      <c r="E228" s="62">
        <v>45798</v>
      </c>
      <c r="F228" s="67">
        <f>ROUND((E228-D228+1)/30,0)*INDEX(DB_Locations!H:H,MATCH(B228,DB_Locations!A:A,0))</f>
        <v>10320</v>
      </c>
      <c r="G228" s="15" t="s">
        <v>67</v>
      </c>
      <c r="H228" s="64">
        <f t="array" ref="H228">IF(C228=1,
    D228-VLOOKUP(B228,DB_Locations!A:D,4,FALSE),
    D228-INDEX(DB_Paiements!$E$2:$E$1000,MATCH(B228&amp;(C228-1),DB_Paiements!$B$2:$B$1000&amp;DB_Paiements!$C$2:$C$1000,0))
)</f>
        <v>0</v>
      </c>
      <c r="I228" s="111"/>
    </row>
    <row r="229" spans="1:9" ht="15.75" x14ac:dyDescent="0.25">
      <c r="A229" s="64" t="s">
        <v>1954</v>
      </c>
      <c r="B229" s="15" t="s">
        <v>1494</v>
      </c>
      <c r="C229" s="15">
        <v>2</v>
      </c>
      <c r="D229" s="62">
        <v>45798</v>
      </c>
      <c r="E229" s="62">
        <v>45981</v>
      </c>
      <c r="F229" s="67">
        <f>ROUND((E229-D229+1)/30,0)*INDEX(DB_Locations!H:H,MATCH(B229,DB_Locations!A:A,0))</f>
        <v>2580</v>
      </c>
      <c r="G229" s="15" t="s">
        <v>67</v>
      </c>
      <c r="H229" s="64">
        <f t="array" ref="H229">IF(C229=1,
    D229-VLOOKUP(B229,DB_Locations!A:D,4,FALSE),
    D229-INDEX(DB_Paiements!$E$2:$E$1000,MATCH(B229&amp;(C229-1),DB_Paiements!$B$2:$B$1000&amp;DB_Paiements!$C$2:$C$1000,0))
)</f>
        <v>0</v>
      </c>
      <c r="I229" s="111"/>
    </row>
    <row r="230" spans="1:9" ht="15.75" x14ac:dyDescent="0.25">
      <c r="A230" s="64" t="s">
        <v>1955</v>
      </c>
      <c r="B230" s="15" t="s">
        <v>1495</v>
      </c>
      <c r="C230" s="15">
        <v>1</v>
      </c>
      <c r="D230" s="62">
        <v>45104</v>
      </c>
      <c r="E230" s="62">
        <v>45684</v>
      </c>
      <c r="F230" s="67">
        <f>ROUND((E230-D230+1)/30,0)*INDEX(DB_Locations!H:H,MATCH(B230,DB_Locations!A:A,0))</f>
        <v>8170</v>
      </c>
      <c r="G230" s="15" t="s">
        <v>67</v>
      </c>
      <c r="H230" s="64">
        <f t="array" ref="H230">IF(C230=1,
    D230-VLOOKUP(B230,DB_Locations!A:D,4,FALSE),
    D230-INDEX(DB_Paiements!$E$2:$E$1000,MATCH(B230&amp;(C230-1),DB_Paiements!$B$2:$B$1000&amp;DB_Paiements!$C$2:$C$1000,0))
)</f>
        <v>0</v>
      </c>
      <c r="I230" s="111"/>
    </row>
    <row r="231" spans="1:9" ht="15.75" x14ac:dyDescent="0.25">
      <c r="A231" s="64" t="s">
        <v>1956</v>
      </c>
      <c r="B231" s="15" t="s">
        <v>1495</v>
      </c>
      <c r="C231" s="15">
        <v>2</v>
      </c>
      <c r="D231" s="62">
        <v>45684</v>
      </c>
      <c r="E231" s="62">
        <v>45864</v>
      </c>
      <c r="F231" s="67">
        <f>ROUND((E231-D231+1)/30,0)*INDEX(DB_Locations!H:H,MATCH(B231,DB_Locations!A:A,0))</f>
        <v>2580</v>
      </c>
      <c r="G231" s="15" t="s">
        <v>67</v>
      </c>
      <c r="H231" s="64">
        <f t="array" ref="H231">IF(C231=1,
    D231-VLOOKUP(B231,DB_Locations!A:D,4,FALSE),
    D231-INDEX(DB_Paiements!$E$2:$E$1000,MATCH(B231&amp;(C231-1),DB_Paiements!$B$2:$B$1000&amp;DB_Paiements!$C$2:$C$1000,0))
)</f>
        <v>0</v>
      </c>
      <c r="I231" s="111"/>
    </row>
    <row r="232" spans="1:9" ht="15.75" x14ac:dyDescent="0.25">
      <c r="A232" s="64" t="s">
        <v>1957</v>
      </c>
      <c r="B232" s="15" t="s">
        <v>1496</v>
      </c>
      <c r="C232" s="15">
        <v>1</v>
      </c>
      <c r="D232" s="62">
        <v>45321</v>
      </c>
      <c r="E232" s="62">
        <v>45811</v>
      </c>
      <c r="F232" s="67">
        <f>ROUND((E232-D232+1)/30,0)*INDEX(DB_Locations!H:H,MATCH(B232,DB_Locations!A:A,0))</f>
        <v>6880</v>
      </c>
      <c r="G232" s="15" t="s">
        <v>67</v>
      </c>
      <c r="H232" s="64">
        <f t="array" ref="H232">IF(C232=1,
    D232-VLOOKUP(B232,DB_Locations!A:D,4,FALSE),
    D232-INDEX(DB_Paiements!$E$2:$E$1000,MATCH(B232&amp;(C232-1),DB_Paiements!$B$2:$B$1000&amp;DB_Paiements!$C$2:$C$1000,0))
)</f>
        <v>0</v>
      </c>
      <c r="I232" s="111"/>
    </row>
    <row r="233" spans="1:9" ht="15.75" x14ac:dyDescent="0.25">
      <c r="A233" s="64" t="s">
        <v>1958</v>
      </c>
      <c r="B233" s="15" t="s">
        <v>1496</v>
      </c>
      <c r="C233" s="15">
        <v>2</v>
      </c>
      <c r="D233" s="62">
        <v>45811</v>
      </c>
      <c r="E233" s="62">
        <v>45993</v>
      </c>
      <c r="F233" s="67">
        <f>ROUND((E233-D233+1)/30,0)*INDEX(DB_Locations!H:H,MATCH(B233,DB_Locations!A:A,0))</f>
        <v>2580</v>
      </c>
      <c r="G233" s="15" t="s">
        <v>67</v>
      </c>
      <c r="H233" s="64">
        <f t="array" ref="H233">IF(C233=1,
    D233-VLOOKUP(B233,DB_Locations!A:D,4,FALSE),
    D233-INDEX(DB_Paiements!$E$2:$E$1000,MATCH(B233&amp;(C233-1),DB_Paiements!$B$2:$B$1000&amp;DB_Paiements!$C$2:$C$1000,0))
)</f>
        <v>0</v>
      </c>
      <c r="I233" s="111"/>
    </row>
    <row r="234" spans="1:9" ht="15.75" x14ac:dyDescent="0.25">
      <c r="A234" s="64" t="s">
        <v>1959</v>
      </c>
      <c r="B234" s="15" t="s">
        <v>1497</v>
      </c>
      <c r="C234" s="15">
        <v>1</v>
      </c>
      <c r="D234" s="62">
        <v>45324</v>
      </c>
      <c r="E234" s="62">
        <v>45679</v>
      </c>
      <c r="F234" s="67">
        <f>ROUND((E234-D234+1)/30,0)*INDEX(DB_Locations!H:H,MATCH(B234,DB_Locations!A:A,0))</f>
        <v>5160</v>
      </c>
      <c r="G234" s="15" t="s">
        <v>67</v>
      </c>
      <c r="H234" s="64">
        <f t="array" ref="H234">IF(C234=1,
    D234-VLOOKUP(B234,DB_Locations!A:D,4,FALSE),
    D234-INDEX(DB_Paiements!$E$2:$E$1000,MATCH(B234&amp;(C234-1),DB_Paiements!$B$2:$B$1000&amp;DB_Paiements!$C$2:$C$1000,0))
)</f>
        <v>0</v>
      </c>
      <c r="I234" s="111"/>
    </row>
    <row r="235" spans="1:9" ht="15.75" x14ac:dyDescent="0.25">
      <c r="A235" s="64" t="s">
        <v>1960</v>
      </c>
      <c r="B235" s="15" t="s">
        <v>1497</v>
      </c>
      <c r="C235" s="15">
        <v>2</v>
      </c>
      <c r="D235" s="62">
        <v>45679</v>
      </c>
      <c r="E235" s="62">
        <v>45859</v>
      </c>
      <c r="F235" s="67">
        <f>ROUND((E235-D235+1)/30,0)*INDEX(DB_Locations!H:H,MATCH(B235,DB_Locations!A:A,0))</f>
        <v>2580</v>
      </c>
      <c r="G235" s="15" t="s">
        <v>67</v>
      </c>
      <c r="H235" s="64">
        <f t="array" ref="H235">IF(C235=1,
    D235-VLOOKUP(B235,DB_Locations!A:D,4,FALSE),
    D235-INDEX(DB_Paiements!$E$2:$E$1000,MATCH(B235&amp;(C235-1),DB_Paiements!$B$2:$B$1000&amp;DB_Paiements!$C$2:$C$1000,0))
)</f>
        <v>0</v>
      </c>
      <c r="I235" s="111"/>
    </row>
    <row r="236" spans="1:9" ht="15.75" x14ac:dyDescent="0.25">
      <c r="A236" s="64" t="s">
        <v>1961</v>
      </c>
      <c r="B236" s="15" t="s">
        <v>1498</v>
      </c>
      <c r="C236" s="15">
        <v>1</v>
      </c>
      <c r="D236" s="62">
        <v>45325</v>
      </c>
      <c r="E236" s="62">
        <v>45779</v>
      </c>
      <c r="F236" s="67">
        <f>ROUND((E236-D236+1)/30,0)*INDEX(DB_Locations!H:H,MATCH(B236,DB_Locations!A:A,0))</f>
        <v>6450</v>
      </c>
      <c r="G236" s="15" t="s">
        <v>67</v>
      </c>
      <c r="H236" s="64">
        <f t="array" ref="H236">IF(C236=1,
    D236-VLOOKUP(B236,DB_Locations!A:D,4,FALSE),
    D236-INDEX(DB_Paiements!$E$2:$E$1000,MATCH(B236&amp;(C236-1),DB_Paiements!$B$2:$B$1000&amp;DB_Paiements!$C$2:$C$1000,0))
)</f>
        <v>0</v>
      </c>
      <c r="I236" s="111"/>
    </row>
    <row r="237" spans="1:9" ht="15.75" x14ac:dyDescent="0.25">
      <c r="A237" s="64" t="s">
        <v>1962</v>
      </c>
      <c r="B237" s="15" t="s">
        <v>1498</v>
      </c>
      <c r="C237" s="15">
        <v>2</v>
      </c>
      <c r="D237" s="62">
        <v>45779</v>
      </c>
      <c r="E237" s="62">
        <v>45962</v>
      </c>
      <c r="F237" s="67">
        <f>ROUND((E237-D237+1)/30,0)*INDEX(DB_Locations!H:H,MATCH(B237,DB_Locations!A:A,0))</f>
        <v>2580</v>
      </c>
      <c r="G237" s="15" t="s">
        <v>67</v>
      </c>
      <c r="H237" s="64">
        <f t="array" ref="H237">IF(C237=1,
    D237-VLOOKUP(B237,DB_Locations!A:D,4,FALSE),
    D237-INDEX(DB_Paiements!$E$2:$E$1000,MATCH(B237&amp;(C237-1),DB_Paiements!$B$2:$B$1000&amp;DB_Paiements!$C$2:$C$1000,0))
)</f>
        <v>0</v>
      </c>
      <c r="I237" s="111"/>
    </row>
    <row r="238" spans="1:9" ht="15.75" x14ac:dyDescent="0.25">
      <c r="A238" s="64" t="s">
        <v>1963</v>
      </c>
      <c r="B238" s="15" t="s">
        <v>1499</v>
      </c>
      <c r="C238" s="15">
        <v>1</v>
      </c>
      <c r="D238" s="62">
        <v>45327</v>
      </c>
      <c r="E238" s="62">
        <v>45782</v>
      </c>
      <c r="F238" s="67">
        <f>ROUND((E238-D238+1)/30,0)*INDEX(DB_Locations!H:H,MATCH(B238,DB_Locations!A:A,0))</f>
        <v>6450</v>
      </c>
      <c r="G238" s="15" t="s">
        <v>67</v>
      </c>
      <c r="H238" s="64">
        <f t="array" ref="H238">IF(C238=1,
    D238-VLOOKUP(B238,DB_Locations!A:D,4,FALSE),
    D238-INDEX(DB_Paiements!$E$2:$E$1000,MATCH(B238&amp;(C238-1),DB_Paiements!$B$2:$B$1000&amp;DB_Paiements!$C$2:$C$1000,0))
)</f>
        <v>0</v>
      </c>
      <c r="I238" s="111"/>
    </row>
    <row r="239" spans="1:9" ht="15.75" x14ac:dyDescent="0.25">
      <c r="A239" s="64" t="s">
        <v>1964</v>
      </c>
      <c r="B239" s="15" t="s">
        <v>1499</v>
      </c>
      <c r="C239" s="15">
        <v>2</v>
      </c>
      <c r="D239" s="62">
        <v>45782</v>
      </c>
      <c r="E239" s="62">
        <v>45965</v>
      </c>
      <c r="F239" s="67">
        <f>ROUND((E239-D239+1)/30,0)*INDEX(DB_Locations!H:H,MATCH(B239,DB_Locations!A:A,0))</f>
        <v>2580</v>
      </c>
      <c r="G239" s="15" t="s">
        <v>67</v>
      </c>
      <c r="H239" s="64">
        <f t="array" ref="H239">IF(C239=1,
    D239-VLOOKUP(B239,DB_Locations!A:D,4,FALSE),
    D239-INDEX(DB_Paiements!$E$2:$E$1000,MATCH(B239&amp;(C239-1),DB_Paiements!$B$2:$B$1000&amp;DB_Paiements!$C$2:$C$1000,0))
)</f>
        <v>0</v>
      </c>
      <c r="I239" s="111"/>
    </row>
    <row r="240" spans="1:9" ht="15.75" x14ac:dyDescent="0.25">
      <c r="A240" s="64" t="s">
        <v>1965</v>
      </c>
      <c r="B240" s="15" t="s">
        <v>1500</v>
      </c>
      <c r="C240" s="15">
        <v>1</v>
      </c>
      <c r="D240" s="62">
        <v>45349</v>
      </c>
      <c r="E240" s="62">
        <v>45691</v>
      </c>
      <c r="F240" s="67">
        <f>ROUND((E240-D240+1)/30,0)*INDEX(DB_Locations!H:H,MATCH(B240,DB_Locations!A:A,0))</f>
        <v>4730</v>
      </c>
      <c r="G240" s="15" t="s">
        <v>67</v>
      </c>
      <c r="H240" s="64">
        <f t="array" ref="H240">IF(C240=1,
    D240-VLOOKUP(B240,DB_Locations!A:D,4,FALSE),
    D240-INDEX(DB_Paiements!$E$2:$E$1000,MATCH(B240&amp;(C240-1),DB_Paiements!$B$2:$B$1000&amp;DB_Paiements!$C$2:$C$1000,0))
)</f>
        <v>0</v>
      </c>
      <c r="I240" s="111"/>
    </row>
    <row r="241" spans="1:9" ht="15.75" x14ac:dyDescent="0.25">
      <c r="A241" s="64" t="s">
        <v>1966</v>
      </c>
      <c r="B241" s="15" t="s">
        <v>1500</v>
      </c>
      <c r="C241" s="15">
        <v>2</v>
      </c>
      <c r="D241" s="62">
        <v>45691</v>
      </c>
      <c r="E241" s="62">
        <v>45871</v>
      </c>
      <c r="F241" s="67">
        <f>ROUND((E241-D241+1)/30,0)*INDEX(DB_Locations!H:H,MATCH(B241,DB_Locations!A:A,0))</f>
        <v>2580</v>
      </c>
      <c r="G241" s="15" t="s">
        <v>67</v>
      </c>
      <c r="H241" s="64">
        <f t="array" ref="H241">IF(C241=1,
    D241-VLOOKUP(B241,DB_Locations!A:D,4,FALSE),
    D241-INDEX(DB_Paiements!$E$2:$E$1000,MATCH(B241&amp;(C241-1),DB_Paiements!$B$2:$B$1000&amp;DB_Paiements!$C$2:$C$1000,0))
)</f>
        <v>0</v>
      </c>
      <c r="I241" s="111"/>
    </row>
    <row r="242" spans="1:9" ht="15.75" x14ac:dyDescent="0.25">
      <c r="A242" s="64" t="s">
        <v>1999</v>
      </c>
      <c r="B242" s="15" t="s">
        <v>1501</v>
      </c>
      <c r="C242" s="15">
        <v>1</v>
      </c>
      <c r="D242" s="62">
        <v>45435</v>
      </c>
      <c r="E242" s="62">
        <v>45679</v>
      </c>
      <c r="F242" s="67">
        <f>ROUND((E242-D242+1)/30,0)*INDEX(DB_Locations!H:H,MATCH(B242,DB_Locations!A:A,0))</f>
        <v>3440</v>
      </c>
      <c r="G242" s="15" t="s">
        <v>67</v>
      </c>
      <c r="H242" s="64">
        <f t="array" ref="H242">IF(C242=1,
    D242-VLOOKUP(B242,DB_Locations!A:D,4,FALSE),
    D242-INDEX(DB_Paiements!$E$2:$E$1000,MATCH(B242&amp;(C242-1),DB_Paiements!$B$2:$B$1000&amp;DB_Paiements!$C$2:$C$1000,0))
)</f>
        <v>0</v>
      </c>
      <c r="I242" s="111"/>
    </row>
    <row r="243" spans="1:9" ht="15.75" x14ac:dyDescent="0.25">
      <c r="A243" s="64" t="s">
        <v>2000</v>
      </c>
      <c r="B243" s="15" t="s">
        <v>1501</v>
      </c>
      <c r="C243" s="15">
        <v>2</v>
      </c>
      <c r="D243" s="62">
        <v>45679</v>
      </c>
      <c r="E243" s="62">
        <v>45859</v>
      </c>
      <c r="F243" s="67">
        <f>ROUND((E243-D243+1)/30,0)*INDEX(DB_Locations!H:H,MATCH(B243,DB_Locations!A:A,0))</f>
        <v>2580</v>
      </c>
      <c r="G243" s="15" t="s">
        <v>67</v>
      </c>
      <c r="H243" s="64">
        <f t="array" ref="H243">IF(C243=1,
    D243-VLOOKUP(B243,DB_Locations!A:D,4,FALSE),
    D243-INDEX(DB_Paiements!$E$2:$E$1000,MATCH(B243&amp;(C243-1),DB_Paiements!$B$2:$B$1000&amp;DB_Paiements!$C$2:$C$1000,0))
)</f>
        <v>0</v>
      </c>
      <c r="I243" s="111"/>
    </row>
    <row r="244" spans="1:9" ht="15.75" x14ac:dyDescent="0.25">
      <c r="A244" s="64" t="s">
        <v>2001</v>
      </c>
      <c r="B244" s="15" t="s">
        <v>1502</v>
      </c>
      <c r="C244" s="15">
        <v>1</v>
      </c>
      <c r="D244" s="62">
        <v>45493</v>
      </c>
      <c r="E244" s="62">
        <v>45828</v>
      </c>
      <c r="F244" s="67">
        <f>ROUND((E244-D244+1)/30,0)*INDEX(DB_Locations!H:H,MATCH(B244,DB_Locations!A:A,0))</f>
        <v>4730</v>
      </c>
      <c r="G244" s="15" t="s">
        <v>67</v>
      </c>
      <c r="H244" s="64">
        <f t="array" ref="H244">IF(C244=1,
    D244-VLOOKUP(B244,DB_Locations!A:D,4,FALSE),
    D244-INDEX(DB_Paiements!$E$2:$E$1000,MATCH(B244&amp;(C244-1),DB_Paiements!$B$2:$B$1000&amp;DB_Paiements!$C$2:$C$1000,0))
)</f>
        <v>0</v>
      </c>
      <c r="I244" s="111"/>
    </row>
    <row r="245" spans="1:9" ht="15.75" x14ac:dyDescent="0.25">
      <c r="A245" s="64" t="s">
        <v>2002</v>
      </c>
      <c r="B245" s="15" t="s">
        <v>1502</v>
      </c>
      <c r="C245" s="15">
        <v>2</v>
      </c>
      <c r="D245" s="62">
        <v>45828</v>
      </c>
      <c r="E245" s="62">
        <v>46010</v>
      </c>
      <c r="F245" s="67">
        <f>ROUND((E245-D245+1)/30,0)*INDEX(DB_Locations!H:H,MATCH(B245,DB_Locations!A:A,0))</f>
        <v>2580</v>
      </c>
      <c r="G245" s="15" t="s">
        <v>67</v>
      </c>
      <c r="H245" s="64">
        <f t="array" ref="H245">IF(C245=1,
    D245-VLOOKUP(B245,DB_Locations!A:D,4,FALSE),
    D245-INDEX(DB_Paiements!$E$2:$E$1000,MATCH(B245&amp;(C245-1),DB_Paiements!$B$2:$B$1000&amp;DB_Paiements!$C$2:$C$1000,0))
)</f>
        <v>0</v>
      </c>
      <c r="I245" s="111"/>
    </row>
    <row r="246" spans="1:9" ht="15.75" x14ac:dyDescent="0.25">
      <c r="A246" s="85" t="s">
        <v>2003</v>
      </c>
      <c r="B246" s="21" t="s">
        <v>1503</v>
      </c>
      <c r="C246" s="21">
        <v>1</v>
      </c>
      <c r="D246" s="86">
        <f ca="1">TODAY()</f>
        <v>45895</v>
      </c>
      <c r="E246" s="86">
        <v>45502</v>
      </c>
      <c r="F246" s="87">
        <f ca="1">ROUND((E246-D246+1)/30,0)*INDEX(DB_Locations!H:H,MATCH(B246,DB_Locations!A:A,0))</f>
        <v>-5590</v>
      </c>
      <c r="G246" s="21" t="s">
        <v>67</v>
      </c>
      <c r="H246" s="85">
        <f t="array" aca="1" ref="H246" ca="1">IF(C246=1,
    D246-VLOOKUP(B246,DB_Locations!A:D,4,FALSE),
    D246-INDEX(DB_Paiements!$E$2:$E$1000,MATCH(B246&amp;(C246-1),DB_Paiements!$B$2:$B$1000&amp;DB_Paiements!$C$2:$C$1000,0))
)</f>
        <v>393</v>
      </c>
      <c r="I246" s="111"/>
    </row>
    <row r="247" spans="1:9" ht="15.75" x14ac:dyDescent="0.25">
      <c r="A247" s="64" t="s">
        <v>2004</v>
      </c>
      <c r="B247" s="15"/>
      <c r="C247" s="15"/>
      <c r="D247" s="62"/>
      <c r="E247" s="62"/>
      <c r="F247" s="67" t="e">
        <f>ROUND((E247-D247+1)/30,0)*INDEX(DB_Locations!H:H,MATCH(B247,DB_Locations!A:A,0))</f>
        <v>#N/A</v>
      </c>
      <c r="G247" s="15"/>
      <c r="H247" s="166" t="e">
        <f t="array" ref="H247">IF(C247=1,
    D247-VLOOKUP(B247,DB_Locations!A:D,4,FALSE),
    D247-INDEX(DB_Paiements!$E$2:$E$1000,MATCH(B247&amp;(C247-1),DB_Paiements!$B$2:$B$1000&amp;DB_Paiements!$C$2:$C$1000,0))
)</f>
        <v>#N/A</v>
      </c>
      <c r="I247" s="111"/>
    </row>
    <row r="248" spans="1:9" ht="15.75" x14ac:dyDescent="0.25">
      <c r="A248" s="64" t="s">
        <v>2005</v>
      </c>
      <c r="B248" s="15" t="s">
        <v>1504</v>
      </c>
      <c r="C248" s="15">
        <v>1</v>
      </c>
      <c r="D248" s="62">
        <v>45878</v>
      </c>
      <c r="E248" s="62">
        <v>45908</v>
      </c>
      <c r="F248" s="67">
        <f>ROUND((E248-D248+1)/30,0)*INDEX(DB_Locations!H:H,MATCH(B248,DB_Locations!A:A,0))</f>
        <v>250</v>
      </c>
      <c r="G248" s="15" t="s">
        <v>626</v>
      </c>
      <c r="H248" s="166">
        <f t="array" ref="H248">IF(C248=1,
    D248-VLOOKUP(B248,DB_Locations!A:D,4,FALSE),
    D248-INDEX(DB_Paiements!$E$2:$E$1000,MATCH(B248&amp;(C248-1),DB_Paiements!$B$2:$B$1000&amp;DB_Paiements!$C$2:$C$1000,0))
)</f>
        <v>0</v>
      </c>
      <c r="I248" s="111"/>
    </row>
    <row r="249" spans="1:9" ht="15.75" x14ac:dyDescent="0.25">
      <c r="A249" s="64" t="s">
        <v>2006</v>
      </c>
      <c r="B249" s="15" t="s">
        <v>1505</v>
      </c>
      <c r="C249" s="15">
        <v>1</v>
      </c>
      <c r="D249" s="62">
        <v>45520</v>
      </c>
      <c r="E249" s="62">
        <v>45800</v>
      </c>
      <c r="F249" s="67">
        <f>ROUND((E249-D249+1)/30,0)*INDEX(DB_Locations!H:H,MATCH(B249,DB_Locations!A:A,0))</f>
        <v>3870</v>
      </c>
      <c r="G249" s="15" t="s">
        <v>67</v>
      </c>
      <c r="H249" s="166">
        <f t="array" ref="H249">IF(C249=1,
    D249-VLOOKUP(B249,DB_Locations!A:D,4,FALSE),
    D249-INDEX(DB_Paiements!$E$2:$E$1000,MATCH(B249&amp;(C249-1),DB_Paiements!$B$2:$B$1000&amp;DB_Paiements!$C$2:$C$1000,0))
)</f>
        <v>0</v>
      </c>
      <c r="I249" s="111"/>
    </row>
    <row r="250" spans="1:9" ht="15.75" x14ac:dyDescent="0.25">
      <c r="A250" s="64" t="s">
        <v>2007</v>
      </c>
      <c r="B250" s="15" t="s">
        <v>1505</v>
      </c>
      <c r="C250" s="15">
        <v>2</v>
      </c>
      <c r="D250" s="62">
        <v>45800</v>
      </c>
      <c r="E250" s="62">
        <v>45983</v>
      </c>
      <c r="F250" s="67">
        <f>ROUND((E250-D250+1)/30,0)*INDEX(DB_Locations!H:H,MATCH(B250,DB_Locations!A:A,0))</f>
        <v>2580</v>
      </c>
      <c r="G250" s="15" t="s">
        <v>67</v>
      </c>
      <c r="H250" s="166">
        <f t="array" ref="H250">IF(C250=1,
    D250-VLOOKUP(B250,DB_Locations!A:D,4,FALSE),
    D250-INDEX(DB_Paiements!$E$2:$E$1000,MATCH(B250&amp;(C250-1),DB_Paiements!$B$2:$B$1000&amp;DB_Paiements!$C$2:$C$1000,0))
)</f>
        <v>0</v>
      </c>
      <c r="I250" s="111"/>
    </row>
    <row r="251" spans="1:9" ht="15.75" x14ac:dyDescent="0.25">
      <c r="A251" s="64" t="s">
        <v>2008</v>
      </c>
      <c r="B251" s="15" t="s">
        <v>1506</v>
      </c>
      <c r="C251" s="15">
        <v>1</v>
      </c>
      <c r="D251" s="62">
        <v>45595</v>
      </c>
      <c r="E251" s="62">
        <v>45686</v>
      </c>
      <c r="F251" s="67">
        <f>ROUND((E251-D251+1)/30,0)*INDEX(DB_Locations!H:H,MATCH(B251,DB_Locations!A:A,0))</f>
        <v>1290</v>
      </c>
      <c r="G251" s="15" t="s">
        <v>67</v>
      </c>
      <c r="H251" s="166">
        <f t="array" ref="H251">IF(C251=1,
    D251-VLOOKUP(B251,DB_Locations!A:D,4,FALSE),
    D251-INDEX(DB_Paiements!$E$2:$E$1000,MATCH(B251&amp;(C251-1),DB_Paiements!$B$2:$B$1000&amp;DB_Paiements!$C$2:$C$1000,0))
)</f>
        <v>0</v>
      </c>
      <c r="I251" s="111"/>
    </row>
    <row r="252" spans="1:9" ht="15.75" x14ac:dyDescent="0.25">
      <c r="A252" s="64" t="s">
        <v>2014</v>
      </c>
      <c r="B252" s="15" t="s">
        <v>1506</v>
      </c>
      <c r="C252" s="15">
        <v>2</v>
      </c>
      <c r="D252" s="62">
        <v>45686</v>
      </c>
      <c r="E252" s="62">
        <v>45866</v>
      </c>
      <c r="F252" s="67">
        <f>ROUND((E252-D252+1)/30,0)*INDEX(DB_Locations!H:H,MATCH(B252,DB_Locations!A:A,0))</f>
        <v>2580</v>
      </c>
      <c r="G252" s="15" t="s">
        <v>67</v>
      </c>
      <c r="H252" s="166">
        <f t="array" ref="H252">IF(C252=1,
    D252-VLOOKUP(B252,DB_Locations!A:D,4,FALSE),
    D252-INDEX(DB_Paiements!$E$2:$E$1000,MATCH(B252&amp;(C252-1),DB_Paiements!$B$2:$B$1000&amp;DB_Paiements!$C$2:$C$1000,0))
)</f>
        <v>0</v>
      </c>
      <c r="I252" s="111"/>
    </row>
    <row r="253" spans="1:9" ht="15.75" x14ac:dyDescent="0.25">
      <c r="A253" s="64" t="s">
        <v>2015</v>
      </c>
      <c r="B253" s="15" t="s">
        <v>1507</v>
      </c>
      <c r="C253" s="15">
        <v>1</v>
      </c>
      <c r="D253" s="62">
        <v>45650</v>
      </c>
      <c r="E253" s="62">
        <v>45841</v>
      </c>
      <c r="F253" s="67">
        <f>ROUND((E253-D253+1)/30,0)*INDEX(DB_Locations!H:H,MATCH(B253,DB_Locations!A:A,0))</f>
        <v>2580</v>
      </c>
      <c r="G253" s="15" t="s">
        <v>67</v>
      </c>
      <c r="H253" s="166">
        <f t="array" ref="H253">IF(C253=1,
    D253-VLOOKUP(B253,DB_Locations!A:D,4,FALSE),
    D253-INDEX(DB_Paiements!$E$2:$E$1000,MATCH(B253&amp;(C253-1),DB_Paiements!$B$2:$B$1000&amp;DB_Paiements!$C$2:$C$1000,0))
)</f>
        <v>0</v>
      </c>
      <c r="I253" s="111"/>
    </row>
    <row r="254" spans="1:9" ht="15.75" x14ac:dyDescent="0.25">
      <c r="A254" s="64" t="s">
        <v>2016</v>
      </c>
      <c r="B254" s="15" t="s">
        <v>1507</v>
      </c>
      <c r="C254" s="15">
        <v>2</v>
      </c>
      <c r="D254" s="62">
        <v>45841</v>
      </c>
      <c r="E254" s="62">
        <v>46024</v>
      </c>
      <c r="F254" s="67">
        <f>ROUND((E254-D254+1)/30,0)*INDEX(DB_Locations!H:H,MATCH(B254,DB_Locations!A:A,0))</f>
        <v>2580</v>
      </c>
      <c r="G254" s="15" t="s">
        <v>67</v>
      </c>
      <c r="H254" s="166">
        <f t="array" ref="H254">IF(C254=1,
    D254-VLOOKUP(B254,DB_Locations!A:D,4,FALSE),
    D254-INDEX(DB_Paiements!$E$2:$E$1000,MATCH(B254&amp;(C254-1),DB_Paiements!$B$2:$B$1000&amp;DB_Paiements!$C$2:$C$1000,0))
)</f>
        <v>0</v>
      </c>
      <c r="I254" s="111"/>
    </row>
    <row r="255" spans="1:9" ht="15.75" x14ac:dyDescent="0.25">
      <c r="A255" s="64" t="s">
        <v>2017</v>
      </c>
      <c r="B255" s="15" t="s">
        <v>1508</v>
      </c>
      <c r="C255" s="15">
        <v>1</v>
      </c>
      <c r="D255" s="62">
        <v>45684</v>
      </c>
      <c r="E255" s="62">
        <v>45780</v>
      </c>
      <c r="F255" s="67">
        <f>ROUND((E255-D255+1)/30,0)*INDEX(DB_Locations!H:H,MATCH(B255,DB_Locations!A:A,0))</f>
        <v>1290</v>
      </c>
      <c r="G255" s="15" t="s">
        <v>67</v>
      </c>
      <c r="H255" s="166">
        <f t="array" ref="H255">IF(C255=1,
    D255-VLOOKUP(B255,DB_Locations!A:D,4,FALSE),
    D255-INDEX(DB_Paiements!$E$2:$E$1000,MATCH(B255&amp;(C255-1),DB_Paiements!$B$2:$B$1000&amp;DB_Paiements!$C$2:$C$1000,0))
)</f>
        <v>0</v>
      </c>
      <c r="I255" s="111"/>
    </row>
    <row r="256" spans="1:9" ht="15.75" x14ac:dyDescent="0.25">
      <c r="A256" s="64" t="s">
        <v>2018</v>
      </c>
      <c r="B256" s="15" t="s">
        <v>1508</v>
      </c>
      <c r="C256" s="15">
        <v>2</v>
      </c>
      <c r="D256" s="62">
        <v>45780</v>
      </c>
      <c r="E256" s="62">
        <v>45871</v>
      </c>
      <c r="F256" s="67">
        <f>ROUND((E256-D256+1)/30,0)*INDEX(DB_Locations!H:H,MATCH(B256,DB_Locations!A:A,0))</f>
        <v>1290</v>
      </c>
      <c r="G256" s="15" t="s">
        <v>67</v>
      </c>
      <c r="H256" s="166">
        <f t="array" ref="H256">IF(C256=1,
    D256-VLOOKUP(B256,DB_Locations!A:D,4,FALSE),
    D256-INDEX(DB_Paiements!$E$2:$E$1000,MATCH(B256&amp;(C256-1),DB_Paiements!$B$2:$B$1000&amp;DB_Paiements!$C$2:$C$1000,0))
)</f>
        <v>0</v>
      </c>
      <c r="I256" s="111"/>
    </row>
    <row r="257" spans="1:9" ht="15.75" x14ac:dyDescent="0.25">
      <c r="A257" s="64" t="s">
        <v>2019</v>
      </c>
      <c r="B257" s="15" t="s">
        <v>1509</v>
      </c>
      <c r="C257" s="15">
        <v>1</v>
      </c>
      <c r="D257" s="62">
        <v>45681</v>
      </c>
      <c r="E257" s="62">
        <v>45717</v>
      </c>
      <c r="F257" s="67">
        <f>ROUND((E257-D257+1)/30,0)*INDEX(DB_Locations!H:H,MATCH(B257,DB_Locations!A:A,0))</f>
        <v>430</v>
      </c>
      <c r="G257" s="15" t="s">
        <v>67</v>
      </c>
      <c r="H257" s="166">
        <f t="array" ref="H257">IF(C257=1,
    D257-VLOOKUP(B257,DB_Locations!A:D,4,FALSE),
    D257-INDEX(DB_Paiements!$E$2:$E$1000,MATCH(B257&amp;(C257-1),DB_Paiements!$B$2:$B$1000&amp;DB_Paiements!$C$2:$C$1000,0))
)</f>
        <v>0</v>
      </c>
      <c r="I257" s="111"/>
    </row>
    <row r="258" spans="1:9" ht="15.75" x14ac:dyDescent="0.25">
      <c r="A258" s="64" t="s">
        <v>2020</v>
      </c>
      <c r="B258" s="15" t="s">
        <v>1509</v>
      </c>
      <c r="C258" s="15">
        <v>2</v>
      </c>
      <c r="D258" s="62">
        <v>45717</v>
      </c>
      <c r="E258" s="62">
        <v>45807</v>
      </c>
      <c r="F258" s="67">
        <f>ROUND((E258-D258+1)/30,0)*INDEX(DB_Locations!H:H,MATCH(B258,DB_Locations!A:A,0))</f>
        <v>1290</v>
      </c>
      <c r="G258" s="15" t="s">
        <v>67</v>
      </c>
      <c r="H258" s="166">
        <f t="array" ref="H258">IF(C258=1,
    D258-VLOOKUP(B258,DB_Locations!A:D,4,FALSE),
    D258-INDEX(DB_Paiements!$E$2:$E$1000,MATCH(B258&amp;(C258-1),DB_Paiements!$B$2:$B$1000&amp;DB_Paiements!$C$2:$C$1000,0))
)</f>
        <v>0</v>
      </c>
      <c r="I258" s="111"/>
    </row>
    <row r="259" spans="1:9" ht="15.75" x14ac:dyDescent="0.25">
      <c r="A259" s="64" t="s">
        <v>2023</v>
      </c>
      <c r="B259" s="15"/>
      <c r="C259" s="15"/>
      <c r="D259" s="62"/>
      <c r="E259" s="62"/>
      <c r="F259" s="67" t="e">
        <f>ROUND((E259-D259+1)/30,0)*INDEX(DB_Locations!H:H,MATCH(B259,DB_Locations!A:A,0))</f>
        <v>#N/A</v>
      </c>
      <c r="G259" s="15"/>
      <c r="H259" s="166" t="e">
        <f t="array" ref="H259">IF(C259=1,
    D259-VLOOKUP(B259,DB_Locations!A:D,4,FALSE),
    D259-INDEX(DB_Paiements!$E$2:$E$1000,MATCH(B259&amp;(C259-1),DB_Paiements!$B$2:$B$1000&amp;DB_Paiements!$C$2:$C$1000,0))
)</f>
        <v>#N/A</v>
      </c>
      <c r="I259" s="111"/>
    </row>
    <row r="260" spans="1:9" ht="15.75" x14ac:dyDescent="0.25">
      <c r="A260" s="64" t="s">
        <v>2024</v>
      </c>
      <c r="B260" s="15" t="s">
        <v>1510</v>
      </c>
      <c r="C260" s="15">
        <v>1</v>
      </c>
      <c r="D260" s="62">
        <v>45693</v>
      </c>
      <c r="E260" s="62">
        <v>45873</v>
      </c>
      <c r="F260" s="67">
        <f>ROUND((E260-D260+1)/30,0)*INDEX(DB_Locations!H:H,MATCH(B260,DB_Locations!A:A,0))</f>
        <v>2580</v>
      </c>
      <c r="G260" s="15" t="s">
        <v>67</v>
      </c>
      <c r="H260" s="166">
        <f t="array" ref="H260">IF(C260=1,
    D260-VLOOKUP(B260,DB_Locations!A:D,4,FALSE),
    D260-INDEX(DB_Paiements!$E$2:$E$1000,MATCH(B260&amp;(C260-1),DB_Paiements!$B$2:$B$1000&amp;DB_Paiements!$C$2:$C$1000,0))
)</f>
        <v>3</v>
      </c>
      <c r="I260" s="111"/>
    </row>
    <row r="261" spans="1:9" ht="15.75" x14ac:dyDescent="0.25">
      <c r="A261" s="64" t="s">
        <v>2025</v>
      </c>
      <c r="B261" s="15"/>
      <c r="C261" s="15"/>
      <c r="D261" s="62"/>
      <c r="E261" s="62"/>
      <c r="F261" s="67" t="e">
        <f>ROUND((E261-D261+1)/30,0)*INDEX(DB_Locations!H:H,MATCH(B261,DB_Locations!A:A,0))</f>
        <v>#N/A</v>
      </c>
      <c r="G261" s="15"/>
      <c r="H261" s="166" t="e">
        <f t="array" ref="H261">IF(C261=1,
    D261-VLOOKUP(B261,DB_Locations!A:D,4,FALSE),
    D261-INDEX(DB_Paiements!$E$2:$E$1000,MATCH(B261&amp;(C261-1),DB_Paiements!$B$2:$B$1000&amp;DB_Paiements!$C$2:$C$1000,0))
)</f>
        <v>#N/A</v>
      </c>
      <c r="I261" s="111"/>
    </row>
    <row r="262" spans="1:9" ht="15.75" x14ac:dyDescent="0.25">
      <c r="A262" s="64" t="s">
        <v>2026</v>
      </c>
      <c r="B262" s="15" t="s">
        <v>1511</v>
      </c>
      <c r="C262" s="15">
        <v>1</v>
      </c>
      <c r="D262" s="62">
        <v>45706</v>
      </c>
      <c r="E262" s="62">
        <v>45794</v>
      </c>
      <c r="F262" s="67">
        <f>ROUND((E262-D262+1)/30,0)*INDEX(DB_Locations!H:H,MATCH(B262,DB_Locations!A:A,0))</f>
        <v>1290</v>
      </c>
      <c r="G262" s="15" t="s">
        <v>67</v>
      </c>
      <c r="H262" s="166">
        <f t="array" ref="H262">IF(C262=1,
    D262-VLOOKUP(B262,DB_Locations!A:D,4,FALSE),
    D262-INDEX(DB_Paiements!$E$2:$E$1000,MATCH(B262&amp;(C262-1),DB_Paiements!$B$2:$B$1000&amp;DB_Paiements!$C$2:$C$1000,0))
)</f>
        <v>5</v>
      </c>
      <c r="I262" s="111"/>
    </row>
    <row r="263" spans="1:9" ht="15.75" x14ac:dyDescent="0.25">
      <c r="A263" s="64" t="s">
        <v>2027</v>
      </c>
      <c r="B263" s="15" t="s">
        <v>1436</v>
      </c>
      <c r="C263" s="15">
        <v>3</v>
      </c>
      <c r="D263" s="62">
        <v>45860</v>
      </c>
      <c r="E263" s="62">
        <v>45951</v>
      </c>
      <c r="F263" s="67">
        <f>ROUND((E263-D263+1)/30,0)*INDEX(DB_Locations!H:H,MATCH(B263,DB_Locations!A:A,0))</f>
        <v>570</v>
      </c>
      <c r="G263" s="15" t="s">
        <v>67</v>
      </c>
      <c r="H263" s="166">
        <f t="array" ref="H263">IF(C263=1,
    D263-VLOOKUP(B263,DB_Locations!A:D,4,FALSE),
    D263-INDEX(DB_Paiements!$E$2:$E$1000,MATCH(B263&amp;(C263-1),DB_Paiements!$B$2:$B$1000&amp;DB_Paiements!$C$2:$C$1000,0))
)</f>
        <v>3</v>
      </c>
      <c r="I263" s="111"/>
    </row>
    <row r="264" spans="1:9" ht="15.75" x14ac:dyDescent="0.25">
      <c r="A264" s="64" t="s">
        <v>2028</v>
      </c>
      <c r="B264" s="15" t="s">
        <v>1401</v>
      </c>
      <c r="C264" s="15">
        <v>3</v>
      </c>
      <c r="D264" s="62">
        <v>45856</v>
      </c>
      <c r="E264" s="62">
        <v>45947</v>
      </c>
      <c r="F264" s="67">
        <f>ROUND((E264-D264+1)/30,0)*INDEX(DB_Locations!H:H,MATCH(B264,DB_Locations!A:A,0))</f>
        <v>570</v>
      </c>
      <c r="G264" s="15" t="s">
        <v>67</v>
      </c>
      <c r="H264" s="64">
        <f t="array" ref="H264">IF(C264=1,
    D264-VLOOKUP(B264,DB_Locations!A:D,4,FALSE),
    D264-INDEX(DB_Paiements!$E$2:$E$1000,MATCH(B264&amp;(C264-1),DB_Paiements!$B$2:$B$1000&amp;DB_Paiements!$C$2:$C$1000,0))
)</f>
        <v>41</v>
      </c>
      <c r="I264" s="111"/>
    </row>
    <row r="265" spans="1:9" ht="15.75" x14ac:dyDescent="0.25">
      <c r="A265" s="64" t="s">
        <v>2029</v>
      </c>
      <c r="B265" s="15" t="s">
        <v>1512</v>
      </c>
      <c r="C265" s="15">
        <v>1</v>
      </c>
      <c r="D265" s="62">
        <v>45706</v>
      </c>
      <c r="E265" s="62">
        <v>45766</v>
      </c>
      <c r="F265" s="67">
        <f>ROUND((E265-D265+1)/30,0)*INDEX(DB_Locations!H:H,MATCH(B265,DB_Locations!A:A,0))</f>
        <v>860</v>
      </c>
      <c r="G265" s="15" t="s">
        <v>67</v>
      </c>
      <c r="H265" s="64">
        <f t="array" ref="H265">IF(C265=1,
    D265-VLOOKUP(B265,DB_Locations!A:D,4,FALSE),
    D265-INDEX(DB_Paiements!$E$2:$E$1000,MATCH(B265&amp;(C265-1),DB_Paiements!$B$2:$B$1000&amp;DB_Paiements!$C$2:$C$1000,0))
)</f>
        <v>0</v>
      </c>
      <c r="I265" s="111"/>
    </row>
    <row r="266" spans="1:9" ht="15.75" x14ac:dyDescent="0.25">
      <c r="A266" s="64" t="s">
        <v>2030</v>
      </c>
      <c r="B266" s="15" t="s">
        <v>1512</v>
      </c>
      <c r="C266" s="15">
        <v>2</v>
      </c>
      <c r="D266" s="62">
        <v>45766</v>
      </c>
      <c r="E266" s="62">
        <v>45856</v>
      </c>
      <c r="F266" s="67">
        <f>ROUND((E266-D266+1)/30,0)*INDEX(DB_Locations!H:H,MATCH(B266,DB_Locations!A:A,0))</f>
        <v>1290</v>
      </c>
      <c r="G266" s="15" t="s">
        <v>67</v>
      </c>
      <c r="H266" s="64">
        <f t="array" ref="H266">IF(C266=1,
    D266-VLOOKUP(B266,DB_Locations!A:D,4,FALSE),
    D266-INDEX(DB_Paiements!$E$2:$E$1000,MATCH(B266&amp;(C266-1),DB_Paiements!$B$2:$B$1000&amp;DB_Paiements!$C$2:$C$1000,0))
)</f>
        <v>0</v>
      </c>
      <c r="I266" s="111"/>
    </row>
    <row r="267" spans="1:9" ht="15.75" x14ac:dyDescent="0.25">
      <c r="A267" s="64" t="s">
        <v>2031</v>
      </c>
      <c r="B267" s="65"/>
      <c r="C267" s="65"/>
      <c r="D267" s="66"/>
      <c r="E267" s="66"/>
      <c r="F267" s="67" t="e">
        <f>ROUND((E267-D267+1)/30,0)*INDEX(DB_Locations!H:H,MATCH(B267,DB_Locations!A:A,0))</f>
        <v>#N/A</v>
      </c>
      <c r="G267" s="65"/>
      <c r="H267" s="90" t="e">
        <f t="array" ref="H267">IF(C267=1,
    D267-VLOOKUP(B267,DB_Locations!A:D,4,FALSE),
    D267-INDEX(DB_Paiements!$E$2:$E$1000,MATCH(B267&amp;(C267-1),DB_Paiements!$B$2:$B$1000&amp;DB_Paiements!$C$2:$C$1000,0))
)</f>
        <v>#N/A</v>
      </c>
      <c r="I267" s="111"/>
    </row>
    <row r="268" spans="1:9" ht="15.75" x14ac:dyDescent="0.25">
      <c r="A268" s="64" t="s">
        <v>2065</v>
      </c>
      <c r="B268" s="15" t="s">
        <v>1513</v>
      </c>
      <c r="C268" s="15">
        <v>1</v>
      </c>
      <c r="D268" s="62">
        <v>45730</v>
      </c>
      <c r="E268" s="62">
        <v>45821</v>
      </c>
      <c r="F268" s="67">
        <f>ROUND((E268-D268+1)/30,0)*INDEX(DB_Locations!H:H,MATCH(B268,DB_Locations!A:A,0))</f>
        <v>1290</v>
      </c>
      <c r="G268" s="15" t="s">
        <v>67</v>
      </c>
      <c r="H268" s="64">
        <f t="array" ref="H268">IF(C268=1,
    D268-VLOOKUP(B268,DB_Locations!A:D,4,FALSE),
    D268-INDEX(DB_Paiements!$E$2:$E$1000,MATCH(B268&amp;(C268-1),DB_Paiements!$B$2:$B$1000&amp;DB_Paiements!$C$2:$C$1000,0))
)</f>
        <v>4</v>
      </c>
      <c r="I268" s="111"/>
    </row>
    <row r="269" spans="1:9" ht="15.75" x14ac:dyDescent="0.25">
      <c r="A269" s="64" t="s">
        <v>2066</v>
      </c>
      <c r="B269" s="15" t="s">
        <v>1514</v>
      </c>
      <c r="C269" s="15">
        <v>1</v>
      </c>
      <c r="D269" s="62">
        <v>45721</v>
      </c>
      <c r="E269" s="62">
        <v>45788</v>
      </c>
      <c r="F269" s="67">
        <f>ROUND((E269-D269+1)/30,0)*INDEX(DB_Locations!H:H,MATCH(B269,DB_Locations!A:A,0))</f>
        <v>860</v>
      </c>
      <c r="G269" s="15" t="s">
        <v>67</v>
      </c>
      <c r="H269" s="64">
        <f t="array" ref="H269">IF(C269=1,
    D269-VLOOKUP(B269,DB_Locations!A:D,4,FALSE),
    D269-INDEX(DB_Paiements!$E$2:$E$1000,MATCH(B269&amp;(C269-1),DB_Paiements!$B$2:$B$1000&amp;DB_Paiements!$C$2:$C$1000,0))
)</f>
        <v>0</v>
      </c>
      <c r="I269" s="111"/>
    </row>
    <row r="270" spans="1:9" ht="15.75" x14ac:dyDescent="0.25">
      <c r="A270" s="64" t="s">
        <v>2067</v>
      </c>
      <c r="B270" s="15" t="s">
        <v>1514</v>
      </c>
      <c r="C270" s="15">
        <v>2</v>
      </c>
      <c r="D270" s="62">
        <v>45788</v>
      </c>
      <c r="E270" s="62">
        <v>45879</v>
      </c>
      <c r="F270" s="67">
        <f>ROUND((E270-D270+1)/30,0)*INDEX(DB_Locations!H:H,MATCH(B270,DB_Locations!A:A,0))</f>
        <v>1290</v>
      </c>
      <c r="G270" s="15" t="s">
        <v>67</v>
      </c>
      <c r="H270" s="64">
        <f t="array" ref="H270">IF(C270=1,
    D270-VLOOKUP(B270,DB_Locations!A:D,4,FALSE),
    D270-INDEX(DB_Paiements!$E$2:$E$1000,MATCH(B270&amp;(C270-1),DB_Paiements!$B$2:$B$1000&amp;DB_Paiements!$C$2:$C$1000,0))
)</f>
        <v>0</v>
      </c>
      <c r="I270" s="111"/>
    </row>
    <row r="271" spans="1:9" ht="15.75" x14ac:dyDescent="0.25">
      <c r="A271" s="85" t="s">
        <v>2068</v>
      </c>
      <c r="B271" s="21" t="s">
        <v>1515</v>
      </c>
      <c r="C271" s="21">
        <v>1</v>
      </c>
      <c r="D271" s="86">
        <f ca="1">TODAY()</f>
        <v>45895</v>
      </c>
      <c r="E271" s="86">
        <v>45875</v>
      </c>
      <c r="F271" s="87">
        <f ca="1">ROUND((E271-D271+1)/30,0)*INDEX(DB_Locations!H:H,MATCH(B271,DB_Locations!A:A,0))</f>
        <v>-190</v>
      </c>
      <c r="G271" s="21" t="s">
        <v>67</v>
      </c>
      <c r="H271" s="85">
        <f t="array" aca="1" ref="H271" ca="1">IF(C271=1,
    D271-VLOOKUP(B271,DB_Locations!A:D,4,FALSE),
    D271-INDEX(DB_Paiements!$E$2:$E$1000,MATCH(B271&amp;(C271-1),DB_Paiements!$B$2:$B$1000&amp;DB_Paiements!$C$2:$C$1000,0))
)</f>
        <v>20</v>
      </c>
      <c r="I271" s="111"/>
    </row>
    <row r="272" spans="1:9" ht="15.75" x14ac:dyDescent="0.25">
      <c r="A272" s="64" t="s">
        <v>2069</v>
      </c>
      <c r="B272" s="15"/>
      <c r="C272" s="15"/>
      <c r="D272" s="62"/>
      <c r="E272" s="62"/>
      <c r="F272" s="89" t="e">
        <f>ROUND((E272-D272+1)/30,0)*INDEX(DB_Locations!H:H,MATCH(B272,DB_Locations!A:A,0))</f>
        <v>#N/A</v>
      </c>
      <c r="G272" s="15"/>
      <c r="H272" s="166" t="e">
        <f t="array" ref="H272">IF(C272=1,
    D272-VLOOKUP(B272,DB_Locations!A:D,4,FALSE),
    D272-INDEX(DB_Paiements!$E$2:$E$1000,MATCH(B272&amp;(C272-1),DB_Paiements!$B$2:$B$1000&amp;DB_Paiements!$C$2:$C$1000,0))
)</f>
        <v>#N/A</v>
      </c>
      <c r="I272" s="111"/>
    </row>
    <row r="273" spans="1:9" ht="15.75" x14ac:dyDescent="0.25">
      <c r="A273" s="64" t="s">
        <v>2070</v>
      </c>
      <c r="B273" s="15" t="s">
        <v>1516</v>
      </c>
      <c r="C273" s="15">
        <v>1</v>
      </c>
      <c r="D273" s="62">
        <v>45729</v>
      </c>
      <c r="E273" s="62">
        <v>45912</v>
      </c>
      <c r="F273" s="89">
        <f>ROUND((E273-D273+1)/30,0)*INDEX(DB_Locations!H:H,MATCH(B273,DB_Locations!A:A,0))</f>
        <v>1140</v>
      </c>
      <c r="G273" s="15" t="s">
        <v>67</v>
      </c>
      <c r="H273" s="64">
        <f t="array" ref="H273">IF(C273=1,
    D273-VLOOKUP(B273,DB_Locations!A:D,4,FALSE),
    D273-INDEX(DB_Paiements!$E$2:$E$1000,MATCH(B273&amp;(C273-1),DB_Paiements!$B$2:$B$1000&amp;DB_Paiements!$C$2:$C$1000,0))
)</f>
        <v>2</v>
      </c>
      <c r="I273" s="111"/>
    </row>
    <row r="274" spans="1:9" ht="15.75" x14ac:dyDescent="0.25">
      <c r="A274" s="64" t="s">
        <v>2071</v>
      </c>
      <c r="B274" s="15" t="s">
        <v>1517</v>
      </c>
      <c r="C274" s="15">
        <v>1</v>
      </c>
      <c r="D274" s="62">
        <v>45750</v>
      </c>
      <c r="E274" s="62">
        <v>45788</v>
      </c>
      <c r="F274" s="89">
        <f>ROUND((E274-D274+1)/30,0)*INDEX(DB_Locations!H:H,MATCH(B274,DB_Locations!A:A,0))</f>
        <v>430</v>
      </c>
      <c r="G274" s="15" t="s">
        <v>67</v>
      </c>
      <c r="H274" s="64">
        <f t="array" ref="H274">IF(C274=1,
    D274-VLOOKUP(B274,DB_Locations!A:D,4,FALSE),
    D274-INDEX(DB_Paiements!$E$2:$E$1000,MATCH(B274&amp;(C274-1),DB_Paiements!$B$2:$B$1000&amp;DB_Paiements!$C$2:$C$1000,0))
)</f>
        <v>0</v>
      </c>
      <c r="I274" s="111"/>
    </row>
    <row r="275" spans="1:9" ht="15.75" x14ac:dyDescent="0.25">
      <c r="A275" s="64" t="s">
        <v>2072</v>
      </c>
      <c r="B275" s="15" t="s">
        <v>1517</v>
      </c>
      <c r="C275" s="15">
        <v>2</v>
      </c>
      <c r="D275" s="62">
        <v>45788</v>
      </c>
      <c r="E275" s="62">
        <v>45879</v>
      </c>
      <c r="F275" s="89">
        <f>ROUND((E275-D275+1)/30,0)*INDEX(DB_Locations!H:H,MATCH(B275,DB_Locations!A:A,0))</f>
        <v>1290</v>
      </c>
      <c r="G275" s="15" t="s">
        <v>67</v>
      </c>
      <c r="H275" s="64">
        <f t="array" ref="H275">IF(C275=1,
    D275-VLOOKUP(B275,DB_Locations!A:D,4,FALSE),
    D275-INDEX(DB_Paiements!$E$2:$E$1000,MATCH(B275&amp;(C275-1),DB_Paiements!$B$2:$B$1000&amp;DB_Paiements!$C$2:$C$1000,0))
)</f>
        <v>0</v>
      </c>
      <c r="I275" s="111"/>
    </row>
    <row r="276" spans="1:9" ht="15.75" x14ac:dyDescent="0.25">
      <c r="A276" s="85" t="s">
        <v>2073</v>
      </c>
      <c r="B276" s="21" t="s">
        <v>1518</v>
      </c>
      <c r="C276" s="21">
        <v>1</v>
      </c>
      <c r="D276" s="86">
        <f ca="1">TODAY()</f>
        <v>45895</v>
      </c>
      <c r="E276" s="86">
        <v>45777</v>
      </c>
      <c r="F276" s="87">
        <f ca="1">ROUND((E276-D276+1)/30,0)*INDEX(DB_Locations!H:H,MATCH(B276,DB_Locations!A:A,0))</f>
        <v>-1720</v>
      </c>
      <c r="G276" s="21" t="s">
        <v>67</v>
      </c>
      <c r="H276" s="85">
        <f t="array" aca="1" ref="H276" ca="1">IF(C276=1,
    D276-VLOOKUP(B276,DB_Locations!A:D,4,FALSE),
    D276-INDEX(DB_Paiements!$E$2:$E$1000,MATCH(B276&amp;(C276-1),DB_Paiements!$B$2:$B$1000&amp;DB_Paiements!$C$2:$C$1000,0))
)</f>
        <v>118</v>
      </c>
      <c r="I276" s="111"/>
    </row>
    <row r="277" spans="1:9" ht="15.75" x14ac:dyDescent="0.25">
      <c r="A277" s="90" t="s">
        <v>2074</v>
      </c>
      <c r="B277" s="65" t="s">
        <v>1519</v>
      </c>
      <c r="C277" s="65">
        <v>1</v>
      </c>
      <c r="D277" s="66">
        <v>45881</v>
      </c>
      <c r="E277" s="66">
        <v>45896</v>
      </c>
      <c r="F277" s="89">
        <f>ROUND((E277-D277+1)/30,0)*INDEX(DB_Locations!H:H,MATCH(B277,DB_Locations!A:A,0))</f>
        <v>250</v>
      </c>
      <c r="G277" s="65" t="s">
        <v>626</v>
      </c>
      <c r="H277" s="167">
        <f t="array" ref="H277">IF(C277=1,
    D277-VLOOKUP(B277,DB_Locations!A:D,4,FALSE),
    D277-INDEX(DB_Paiements!$E$2:$E$1000,MATCH(B277&amp;(C277-1),DB_Paiements!$B$2:$B$1000&amp;DB_Paiements!$C$2:$C$1000,0))
)</f>
        <v>0</v>
      </c>
      <c r="I277" s="111"/>
    </row>
    <row r="278" spans="1:9" ht="15.75" x14ac:dyDescent="0.25">
      <c r="A278" s="90" t="s">
        <v>2092</v>
      </c>
      <c r="B278" s="15" t="s">
        <v>1520</v>
      </c>
      <c r="C278" s="15">
        <v>1</v>
      </c>
      <c r="D278" s="62">
        <v>45873</v>
      </c>
      <c r="E278" s="62">
        <v>45904</v>
      </c>
      <c r="F278" s="89">
        <f>ROUND((E278-D278+1)/30,0)*INDEX(DB_Locations!H:H,MATCH(B278,DB_Locations!A:A,0))</f>
        <v>450</v>
      </c>
      <c r="G278" s="15" t="s">
        <v>626</v>
      </c>
      <c r="H278" s="64">
        <f t="array" ref="H278">IF(C278=1,
    D278-VLOOKUP(B278,DB_Locations!A:D,4,FALSE),
    D278-INDEX(DB_Paiements!$E$2:$E$1000,MATCH(B278&amp;(C278-1),DB_Paiements!$B$2:$B$1000&amp;DB_Paiements!$C$2:$C$1000,0))
)</f>
        <v>0</v>
      </c>
      <c r="I278" s="111"/>
    </row>
    <row r="279" spans="1:9" ht="15.75" x14ac:dyDescent="0.25">
      <c r="A279" s="90" t="s">
        <v>2093</v>
      </c>
      <c r="B279" s="15" t="s">
        <v>1521</v>
      </c>
      <c r="C279" s="15">
        <v>1</v>
      </c>
      <c r="D279" s="62">
        <v>45882</v>
      </c>
      <c r="E279" s="62">
        <v>45912</v>
      </c>
      <c r="F279" s="89">
        <f>ROUND((E279-D279+1)/30,0)*INDEX(DB_Locations!H:H,MATCH(B279,DB_Locations!A:A,0))</f>
        <v>500</v>
      </c>
      <c r="G279" s="15" t="s">
        <v>626</v>
      </c>
      <c r="H279" s="64">
        <f t="array" ref="H279">IF(C279=1,
    D279-VLOOKUP(B279,DB_Locations!A:D,4,FALSE),
    D279-INDEX(DB_Paiements!$E$2:$E$1000,MATCH(B279&amp;(C279-1),DB_Paiements!$B$2:$B$1000&amp;DB_Paiements!$C$2:$C$1000,0))
)</f>
        <v>0</v>
      </c>
      <c r="I279" s="111"/>
    </row>
    <row r="280" spans="1:9" ht="15.75" x14ac:dyDescent="0.25">
      <c r="A280" s="90" t="s">
        <v>2094</v>
      </c>
      <c r="B280" s="15" t="s">
        <v>1522</v>
      </c>
      <c r="C280" s="15">
        <v>1</v>
      </c>
      <c r="D280" s="62">
        <v>45883</v>
      </c>
      <c r="E280" s="62">
        <v>45896</v>
      </c>
      <c r="F280" s="15">
        <v>500</v>
      </c>
      <c r="G280" s="15" t="s">
        <v>626</v>
      </c>
      <c r="H280" s="64">
        <f t="array" ref="H280">IF(C280=1,
    D280-VLOOKUP(B280,DB_Locations!A:D,4,FALSE),
    D280-INDEX(DB_Paiements!$E$2:$E$1000,MATCH(B280&amp;(C280-1),DB_Paiements!$B$2:$B$1000&amp;DB_Paiements!$C$2:$C$1000,0))
)</f>
        <v>0</v>
      </c>
      <c r="I280" s="111"/>
    </row>
    <row r="281" spans="1:9" ht="15.75" x14ac:dyDescent="0.25">
      <c r="A281" s="90" t="s">
        <v>2099</v>
      </c>
      <c r="B281" s="15" t="s">
        <v>1523</v>
      </c>
      <c r="C281" s="15">
        <v>1</v>
      </c>
      <c r="D281" s="62">
        <v>45884</v>
      </c>
      <c r="E281" s="62">
        <v>45914</v>
      </c>
      <c r="F281" s="15">
        <v>250</v>
      </c>
      <c r="G281" s="15" t="s">
        <v>626</v>
      </c>
      <c r="H281" s="64">
        <f t="array" ref="H281">IF(C281=1,
    D281-VLOOKUP(B281,DB_Locations!A:D,4,FALSE),
    D281-INDEX(DB_Paiements!$E$2:$E$1000,MATCH(B281&amp;(C281-1),DB_Paiements!$B$2:$B$1000&amp;DB_Paiements!$C$2:$C$1000,0))
)</f>
        <v>0</v>
      </c>
      <c r="I281" s="111"/>
    </row>
    <row r="282" spans="1:9" ht="15.75" x14ac:dyDescent="0.25">
      <c r="A282" s="90" t="s">
        <v>2100</v>
      </c>
      <c r="B282" s="15" t="s">
        <v>1524</v>
      </c>
      <c r="C282" s="15">
        <v>1</v>
      </c>
      <c r="D282" s="62">
        <v>45884</v>
      </c>
      <c r="E282" s="62">
        <v>45914</v>
      </c>
      <c r="F282" s="15">
        <v>180</v>
      </c>
      <c r="G282" s="15" t="s">
        <v>626</v>
      </c>
      <c r="H282" s="64">
        <f t="array" ref="H282">IF(C282=1,
    D282-VLOOKUP(B282,DB_Locations!A:D,4,FALSE),
    D282-INDEX(DB_Paiements!$E$2:$E$1000,MATCH(B282&amp;(C282-1),DB_Paiements!$B$2:$B$1000&amp;DB_Paiements!$C$2:$C$1000,0))
)</f>
        <v>0</v>
      </c>
      <c r="I282" s="111"/>
    </row>
    <row r="283" spans="1:9" ht="15.75" x14ac:dyDescent="0.25">
      <c r="A283" s="90" t="s">
        <v>2101</v>
      </c>
      <c r="B283" s="15" t="s">
        <v>1525</v>
      </c>
      <c r="C283" s="15">
        <v>1</v>
      </c>
      <c r="D283" s="62">
        <v>45886</v>
      </c>
      <c r="E283" s="62">
        <v>45916</v>
      </c>
      <c r="F283" s="15">
        <v>200</v>
      </c>
      <c r="G283" s="15" t="s">
        <v>626</v>
      </c>
      <c r="H283" s="64">
        <f t="array" ref="H283">IF(C283=1,
    D283-VLOOKUP(B283,DB_Locations!A:D,4,FALSE),
    D283-INDEX(DB_Paiements!$E$2:$E$1000,MATCH(B283&amp;(C283-1),DB_Paiements!$B$2:$B$1000&amp;DB_Paiements!$C$2:$C$1000,0))
)</f>
        <v>0</v>
      </c>
      <c r="I283" s="111"/>
    </row>
    <row r="284" spans="1:9" ht="15.75" x14ac:dyDescent="0.25">
      <c r="A284" s="90" t="s">
        <v>2102</v>
      </c>
      <c r="B284" s="15" t="s">
        <v>1526</v>
      </c>
      <c r="C284" s="15">
        <v>1</v>
      </c>
      <c r="D284" s="62">
        <v>45890</v>
      </c>
      <c r="E284" s="62">
        <v>45891</v>
      </c>
      <c r="F284" s="15">
        <v>70</v>
      </c>
      <c r="G284" s="15" t="s">
        <v>626</v>
      </c>
      <c r="H284" s="64">
        <f t="array" ref="H284">IF(C284=1,
    D284-VLOOKUP(B284,DB_Locations!A:D,4,FALSE),
    D284-INDEX(DB_Paiements!$E$2:$E$1000,MATCH(B284&amp;(C284-1),DB_Paiements!$B$2:$B$1000&amp;DB_Paiements!$C$2:$C$1000,0))
)</f>
        <v>0</v>
      </c>
      <c r="I284" s="111"/>
    </row>
    <row r="285" spans="1:9" ht="15.75" x14ac:dyDescent="0.25">
      <c r="A285" s="90" t="s">
        <v>2108</v>
      </c>
      <c r="B285" s="15" t="s">
        <v>1527</v>
      </c>
      <c r="C285" s="15">
        <v>1</v>
      </c>
      <c r="D285" s="62">
        <v>45889</v>
      </c>
      <c r="E285" s="62">
        <v>45904</v>
      </c>
      <c r="F285" s="15">
        <v>200</v>
      </c>
      <c r="G285" s="15" t="s">
        <v>626</v>
      </c>
      <c r="H285" s="64">
        <f t="array" ref="H285">IF(C285=1,
    D285-VLOOKUP(B285,DB_Locations!A:D,4,FALSE),
    D285-INDEX(DB_Paiements!$E$2:$E$1000,MATCH(B285&amp;(C285-1),DB_Paiements!$B$2:$B$1000&amp;DB_Paiements!$C$2:$C$1000,0))
)</f>
        <v>0</v>
      </c>
      <c r="I285" s="111"/>
    </row>
    <row r="286" spans="1:9" ht="15.75" x14ac:dyDescent="0.25">
      <c r="A286" s="90" t="s">
        <v>2126</v>
      </c>
      <c r="B286" s="15" t="s">
        <v>1482</v>
      </c>
      <c r="C286" s="15">
        <v>3</v>
      </c>
      <c r="D286" s="62">
        <v>45849</v>
      </c>
      <c r="E286" s="62">
        <v>46032</v>
      </c>
      <c r="F286" s="15">
        <f>ROUND((E286-D286+1)/30,0)*INDEX(DB_Locations!H:H,MATCH(B286,DB_Locations!A:A,0))</f>
        <v>2580</v>
      </c>
      <c r="G286" s="15" t="s">
        <v>67</v>
      </c>
      <c r="H286" s="64">
        <f t="array" ref="H286">IF(C286=1,
    D286-VLOOKUP(B286,DB_Locations!A:D,4,FALSE),
    D286-INDEX(DB_Paiements!$E$2:$E$1000,MATCH(B286&amp;(C286-1),DB_Paiements!$B$2:$B$1000&amp;DB_Paiements!$C$2:$C$1000,0))
)</f>
        <v>21</v>
      </c>
      <c r="I286" s="111"/>
    </row>
    <row r="287" spans="1:9" ht="15.75" x14ac:dyDescent="0.25">
      <c r="A287" s="90" t="s">
        <v>2133</v>
      </c>
      <c r="B287" s="15" t="s">
        <v>1528</v>
      </c>
      <c r="C287" s="15">
        <v>1</v>
      </c>
      <c r="D287" s="62">
        <v>45833</v>
      </c>
      <c r="E287" s="62">
        <v>45833</v>
      </c>
      <c r="F287" s="15">
        <v>60</v>
      </c>
      <c r="G287" s="15" t="s">
        <v>67</v>
      </c>
      <c r="H287" s="64">
        <f t="array" ref="H287">IF(C287=1,
    D287-VLOOKUP(B287,DB_Locations!A:D,4,FALSE),
    D287-INDEX(DB_Paiements!$E$2:$E$1000,MATCH(B287&amp;(C287-1),DB_Paiements!$B$2:$B$1000&amp;DB_Paiements!$C$2:$C$1000,0))
)</f>
        <v>0</v>
      </c>
      <c r="I287" s="111"/>
    </row>
    <row r="288" spans="1:9" ht="15.75" x14ac:dyDescent="0.25">
      <c r="A288" s="90" t="s">
        <v>2135</v>
      </c>
      <c r="B288" s="15" t="s">
        <v>1529</v>
      </c>
      <c r="C288" s="15">
        <v>1</v>
      </c>
      <c r="D288" s="62">
        <v>45890</v>
      </c>
      <c r="E288" s="62">
        <v>45890</v>
      </c>
      <c r="F288" s="15">
        <v>80</v>
      </c>
      <c r="G288" s="15" t="s">
        <v>626</v>
      </c>
      <c r="H288" s="64">
        <f t="array" ref="H288">IF(C288=1,
    D288-VLOOKUP(B288,DB_Locations!A:D,4,FALSE),
    D288-INDEX(DB_Paiements!$E$2:$E$1000,MATCH(B288&amp;(C288-1),DB_Paiements!$B$2:$B$1000&amp;DB_Paiements!$C$2:$C$1000,0))
)</f>
        <v>0</v>
      </c>
      <c r="I288" s="111"/>
    </row>
    <row r="289" spans="1:9" ht="15.75" x14ac:dyDescent="0.25">
      <c r="A289" s="90" t="s">
        <v>2143</v>
      </c>
      <c r="B289" s="15" t="s">
        <v>1534</v>
      </c>
      <c r="C289" s="15">
        <v>1</v>
      </c>
      <c r="D289" s="62">
        <v>45751</v>
      </c>
      <c r="E289" s="62">
        <v>45841</v>
      </c>
      <c r="F289" s="15">
        <f>ROUND((E289-D289+1)/30,0)*INDEX(DB_Locations!H:H,MATCH(B289,DB_Locations!A:A,0))</f>
        <v>570</v>
      </c>
      <c r="G289" s="15" t="s">
        <v>67</v>
      </c>
      <c r="H289" s="64">
        <f t="array" ref="H289">IF(C289=1,
    D289-VLOOKUP(B289,DB_Locations!A:D,4,FALSE),
    D289-INDEX(DB_Paiements!$E$2:$E$1000,MATCH(B289&amp;(C289-1),DB_Paiements!$B$2:$B$1000&amp;DB_Paiements!$C$2:$C$1000,0))
)</f>
        <v>0</v>
      </c>
      <c r="I289" s="111"/>
    </row>
    <row r="290" spans="1:9" ht="15.75" x14ac:dyDescent="0.25">
      <c r="A290" s="90" t="s">
        <v>2216</v>
      </c>
      <c r="B290" s="15" t="s">
        <v>1535</v>
      </c>
      <c r="C290" s="15">
        <v>1</v>
      </c>
      <c r="D290" s="62">
        <v>45751</v>
      </c>
      <c r="E290" s="62">
        <v>45841</v>
      </c>
      <c r="F290" s="15">
        <f>ROUND((E290-D290+1)/30,0)*INDEX(DB_Locations!H:H,MATCH(B290,DB_Locations!A:A,0))</f>
        <v>1290</v>
      </c>
      <c r="G290" s="15" t="s">
        <v>67</v>
      </c>
      <c r="H290" s="64">
        <f t="array" ref="H290">IF(C290=1,
    D290-VLOOKUP(B290,DB_Locations!A:D,4,FALSE),
    D290-INDEX(DB_Paiements!$E$2:$E$1000,MATCH(B290&amp;(C290-1),DB_Paiements!$B$2:$B$1000&amp;DB_Paiements!$C$2:$C$1000,0))
)</f>
        <v>0</v>
      </c>
      <c r="I290" s="111"/>
    </row>
    <row r="291" spans="1:9" ht="15.75" x14ac:dyDescent="0.25">
      <c r="A291" s="90" t="s">
        <v>2233</v>
      </c>
      <c r="B291" s="15" t="s">
        <v>2222</v>
      </c>
      <c r="C291" s="15">
        <v>1</v>
      </c>
      <c r="D291" s="62">
        <v>45736</v>
      </c>
      <c r="E291" s="62">
        <f ca="1">TODAY()</f>
        <v>45895</v>
      </c>
      <c r="F291" s="15">
        <f ca="1">ROUND((E291-D291+1)/30,0)*INDEX(DB_Locations!H:H,MATCH(B291,DB_Locations!A:A,0))</f>
        <v>2150</v>
      </c>
      <c r="G291" s="15" t="s">
        <v>67</v>
      </c>
      <c r="H291" s="64">
        <f t="array" ref="H291">IF(C291=1,
    D291-VLOOKUP(B291,DB_Locations!A:D,4,FALSE),
    D291-INDEX(DB_Paiements!$E$2:$E$1000,MATCH(B291&amp;(C291-1),DB_Paiements!$B$2:$B$1000&amp;DB_Paiements!$C$2:$C$1000,0))
)</f>
        <v>0</v>
      </c>
      <c r="I291" s="111"/>
    </row>
    <row r="292" spans="1:9" ht="15.75" x14ac:dyDescent="0.25">
      <c r="A292" s="90" t="s">
        <v>2239</v>
      </c>
      <c r="B292" s="15" t="s">
        <v>2223</v>
      </c>
      <c r="C292" s="15">
        <v>1</v>
      </c>
      <c r="D292" s="62">
        <v>45742</v>
      </c>
      <c r="E292" s="62">
        <f ca="1">TODAY()</f>
        <v>45895</v>
      </c>
      <c r="F292" s="15">
        <f ca="1">ROUND((E292-D292+1)/30,0)*INDEX(DB_Locations!H:H,MATCH(B292,DB_Locations!A:A,0))</f>
        <v>2150</v>
      </c>
      <c r="G292" s="15" t="s">
        <v>67</v>
      </c>
      <c r="H292" s="64">
        <f t="array" ref="H292">IF(C292=1,
    D292-VLOOKUP(B292,DB_Locations!A:D,4,FALSE),
    D292-INDEX(DB_Paiements!$E$2:$E$1000,MATCH(B292&amp;(C292-1),DB_Paiements!$B$2:$B$1000&amp;DB_Paiements!$C$2:$C$1000,0))
)</f>
        <v>0</v>
      </c>
      <c r="I292" s="111"/>
    </row>
    <row r="293" spans="1:9" ht="15.75" x14ac:dyDescent="0.25">
      <c r="A293" s="90" t="s">
        <v>2240</v>
      </c>
      <c r="B293" s="15" t="s">
        <v>2224</v>
      </c>
      <c r="C293" s="15">
        <v>1</v>
      </c>
      <c r="D293" s="62">
        <v>45803</v>
      </c>
      <c r="E293" s="62">
        <v>45894</v>
      </c>
      <c r="F293" s="15">
        <f>ROUND((E293-D293+1)/30,0)*INDEX(DB_Locations!H:H,MATCH(B293,DB_Locations!A:A,0))</f>
        <v>570</v>
      </c>
      <c r="G293" s="15" t="s">
        <v>67</v>
      </c>
      <c r="H293" s="64">
        <f t="array" ref="H293">IF(C293=1,
    D293-VLOOKUP(B293,DB_Locations!A:D,4,FALSE),
    D293-INDEX(DB_Paiements!$E$2:$E$1000,MATCH(B293&amp;(C293-1),DB_Paiements!$B$2:$B$1000&amp;DB_Paiements!$C$2:$C$1000,0))
)</f>
        <v>6</v>
      </c>
      <c r="I293" s="111"/>
    </row>
    <row r="294" spans="1:9" ht="15.75" x14ac:dyDescent="0.25">
      <c r="A294" s="90" t="s">
        <v>2243</v>
      </c>
      <c r="B294" s="15" t="s">
        <v>2225</v>
      </c>
      <c r="C294" s="15">
        <v>1</v>
      </c>
      <c r="D294" s="62">
        <v>45803</v>
      </c>
      <c r="E294" s="62">
        <v>45894</v>
      </c>
      <c r="F294" s="15">
        <f>ROUND((E294-D294+1)/30,0)*INDEX(DB_Locations!H:H,MATCH(B294,DB_Locations!A:A,0))</f>
        <v>1290</v>
      </c>
      <c r="G294" s="15" t="s">
        <v>67</v>
      </c>
      <c r="H294" s="64">
        <f t="array" ref="H294">IF(C294=1,
    D294-VLOOKUP(B294,DB_Locations!A:D,4,FALSE),
    D294-INDEX(DB_Paiements!$E$2:$E$1000,MATCH(B294&amp;(C294-1),DB_Paiements!$B$2:$B$1000&amp;DB_Paiements!$C$2:$C$1000,0))
)</f>
        <v>7</v>
      </c>
      <c r="I294" s="111"/>
    </row>
    <row r="295" spans="1:9" ht="15.75" x14ac:dyDescent="0.25">
      <c r="A295" s="90" t="s">
        <v>2246</v>
      </c>
      <c r="B295" s="15" t="s">
        <v>2226</v>
      </c>
      <c r="C295" s="15">
        <v>1</v>
      </c>
      <c r="D295" s="62">
        <v>45817</v>
      </c>
      <c r="E295" s="62">
        <v>45908</v>
      </c>
      <c r="F295" s="15">
        <f>ROUND((E295-D295+1)/30,0)*INDEX(DB_Locations!H:H,MATCH(B295,DB_Locations!A:A,0))</f>
        <v>570</v>
      </c>
      <c r="G295" s="15" t="s">
        <v>67</v>
      </c>
      <c r="H295" s="64">
        <f t="array" ref="H295">IF(C295=1,
    D295-VLOOKUP(B295,DB_Locations!A:D,4,FALSE),
    D295-INDEX(DB_Paiements!$E$2:$E$1000,MATCH(B295&amp;(C295-1),DB_Paiements!$B$2:$B$1000&amp;DB_Paiements!$C$2:$C$1000,0))
)</f>
        <v>0</v>
      </c>
      <c r="I295" s="111"/>
    </row>
    <row r="296" spans="1:9" ht="15.75" x14ac:dyDescent="0.25">
      <c r="A296" s="90" t="s">
        <v>2255</v>
      </c>
      <c r="B296" s="15" t="s">
        <v>2227</v>
      </c>
      <c r="C296" s="15">
        <v>1</v>
      </c>
      <c r="D296" s="62">
        <v>45798</v>
      </c>
      <c r="E296" s="62">
        <f ca="1">TODAY()</f>
        <v>45895</v>
      </c>
      <c r="F296" s="15">
        <f ca="1">ROUND((E296-D296+1)/30,0)*INDEX(DB_Locations!H:H,MATCH(B296,DB_Locations!A:A,0))</f>
        <v>570</v>
      </c>
      <c r="G296" s="15" t="s">
        <v>67</v>
      </c>
      <c r="H296" s="64">
        <f t="array" ref="H296">IF(C296=1,
    D296-VLOOKUP(B296,DB_Locations!A:D,4,FALSE),
    D296-INDEX(DB_Paiements!$E$2:$E$1000,MATCH(B296&amp;(C296-1),DB_Paiements!$B$2:$B$1000&amp;DB_Paiements!$C$2:$C$1000,0))
)</f>
        <v>0</v>
      </c>
      <c r="I296" s="111"/>
    </row>
    <row r="297" spans="1:9" ht="15.75" x14ac:dyDescent="0.25">
      <c r="A297" s="90" t="s">
        <v>2256</v>
      </c>
      <c r="B297" s="15" t="s">
        <v>2228</v>
      </c>
      <c r="C297" s="15">
        <v>1</v>
      </c>
      <c r="D297" s="62">
        <v>45798</v>
      </c>
      <c r="E297" s="62">
        <f t="shared" ref="E297:E302" ca="1" si="1">TODAY()</f>
        <v>45895</v>
      </c>
      <c r="F297" s="15">
        <f ca="1">ROUND((E297-D297+1)/30,0)*INDEX(DB_Locations!H:H,MATCH(B297,DB_Locations!A:A,0))</f>
        <v>1290</v>
      </c>
      <c r="G297" s="15" t="s">
        <v>67</v>
      </c>
      <c r="H297" s="64">
        <f t="array" ref="H297">IF(C297=1,
    D297-VLOOKUP(B297,DB_Locations!A:D,4,FALSE),
    D297-INDEX(DB_Paiements!$E$2:$E$1000,MATCH(B297&amp;(C297-1),DB_Paiements!$B$2:$B$1000&amp;DB_Paiements!$C$2:$C$1000,0))
)</f>
        <v>0</v>
      </c>
      <c r="I297" s="111"/>
    </row>
    <row r="298" spans="1:9" ht="15.75" x14ac:dyDescent="0.25">
      <c r="A298" s="90" t="s">
        <v>2257</v>
      </c>
      <c r="B298" s="15" t="s">
        <v>2229</v>
      </c>
      <c r="C298" s="15">
        <v>1</v>
      </c>
      <c r="D298" s="62">
        <v>45825</v>
      </c>
      <c r="E298" s="62">
        <f t="shared" ca="1" si="1"/>
        <v>45895</v>
      </c>
      <c r="F298" s="15">
        <f ca="1">ROUND((E298-D298+1)/30,0)*INDEX(DB_Locations!H:H,MATCH(B298,DB_Locations!A:A,0))</f>
        <v>380</v>
      </c>
      <c r="G298" s="15" t="s">
        <v>67</v>
      </c>
      <c r="H298" s="64">
        <f t="array" ref="H298">IF(C298=1,
    D298-VLOOKUP(B298,DB_Locations!A:D,4,FALSE),
    D298-INDEX(DB_Paiements!$E$2:$E$1000,MATCH(B298&amp;(C298-1),DB_Paiements!$B$2:$B$1000&amp;DB_Paiements!$C$2:$C$1000,0))
)</f>
        <v>0</v>
      </c>
      <c r="I298" s="111"/>
    </row>
    <row r="299" spans="1:9" ht="15.75" x14ac:dyDescent="0.25">
      <c r="A299" s="90" t="s">
        <v>2259</v>
      </c>
      <c r="B299" s="15" t="s">
        <v>2230</v>
      </c>
      <c r="C299" s="15">
        <v>1</v>
      </c>
      <c r="D299" s="62">
        <v>45821</v>
      </c>
      <c r="E299" s="62">
        <f t="shared" ca="1" si="1"/>
        <v>45895</v>
      </c>
      <c r="F299" s="15">
        <f ca="1">ROUND((E299-D299+1)/30,0)*INDEX(DB_Locations!H:H,MATCH(B299,DB_Locations!A:A,0))</f>
        <v>570</v>
      </c>
      <c r="G299" s="15" t="s">
        <v>67</v>
      </c>
      <c r="H299" s="64">
        <f t="array" ref="H299">IF(C299=1,
    D299-VLOOKUP(B299,DB_Locations!A:D,4,FALSE),
    D299-INDEX(DB_Paiements!$E$2:$E$1000,MATCH(B299&amp;(C299-1),DB_Paiements!$B$2:$B$1000&amp;DB_Paiements!$C$2:$C$1000,0))
)</f>
        <v>0</v>
      </c>
      <c r="I299" s="111"/>
    </row>
    <row r="300" spans="1:9" ht="15.75" x14ac:dyDescent="0.25">
      <c r="A300" s="90" t="s">
        <v>2267</v>
      </c>
      <c r="B300" s="15" t="s">
        <v>2231</v>
      </c>
      <c r="C300" s="15">
        <v>1</v>
      </c>
      <c r="D300" s="62">
        <v>45841</v>
      </c>
      <c r="E300" s="62">
        <f t="shared" ca="1" si="1"/>
        <v>45895</v>
      </c>
      <c r="F300" s="15">
        <f ca="1">ROUND((E300-D300+1)/30,0)*INDEX(DB_Locations!H:H,MATCH(B300,DB_Locations!A:A,0))</f>
        <v>380</v>
      </c>
      <c r="G300" s="15" t="s">
        <v>67</v>
      </c>
      <c r="H300" s="64">
        <f t="array" ref="H300">IF(C300=1,
    D300-VLOOKUP(B300,DB_Locations!A:D,4,FALSE),
    D300-INDEX(DB_Paiements!$E$2:$E$1000,MATCH(B300&amp;(C300-1),DB_Paiements!$B$2:$B$1000&amp;DB_Paiements!$C$2:$C$1000,0))
)</f>
        <v>0</v>
      </c>
      <c r="I300" s="111"/>
    </row>
    <row r="301" spans="1:9" ht="15.75" x14ac:dyDescent="0.25">
      <c r="A301" s="15" t="s">
        <v>2274</v>
      </c>
      <c r="B301" s="15" t="s">
        <v>2232</v>
      </c>
      <c r="C301" s="15">
        <v>1</v>
      </c>
      <c r="D301" s="62">
        <f ca="1">TODAY()</f>
        <v>45895</v>
      </c>
      <c r="E301" s="62">
        <v>45871</v>
      </c>
      <c r="F301" s="15">
        <f ca="1">ROUND((E301-D301+1)/30,0)*INDEX(DB_Locations!H:H,MATCH(B301,DB_Locations!A:A,0))</f>
        <v>-190</v>
      </c>
      <c r="G301" s="15" t="s">
        <v>67</v>
      </c>
      <c r="H301" s="64">
        <f t="array" aca="1" ref="H301" ca="1">IF(C301=1,
    D301-VLOOKUP(B301,DB_Locations!A:D,4,FALSE),
    D301-INDEX(DB_Paiements!$E$2:$E$1000,MATCH(B301&amp;(C301-1),DB_Paiements!$B$2:$B$1000&amp;DB_Paiements!$C$2:$C$1000,0))
)</f>
        <v>24</v>
      </c>
      <c r="I301" s="111"/>
    </row>
    <row r="302" spans="1:9" ht="15.75" x14ac:dyDescent="0.25">
      <c r="A302" s="15" t="s">
        <v>2275</v>
      </c>
      <c r="B302" s="15" t="s">
        <v>2273</v>
      </c>
      <c r="C302" s="15">
        <v>1</v>
      </c>
      <c r="D302" s="62">
        <f ca="1">TODAY()</f>
        <v>45895</v>
      </c>
      <c r="E302" s="62">
        <v>45871</v>
      </c>
      <c r="F302" s="15">
        <f ca="1">ROUND((E302-D302+1)/30,0)*INDEX(DB_Locations!H:H,MATCH(B302,DB_Locations!A:A,0))</f>
        <v>-430</v>
      </c>
      <c r="G302" s="15" t="s">
        <v>67</v>
      </c>
      <c r="H302" s="64">
        <f t="array" aca="1" ref="H302" ca="1">IF(C302=1,
    D302-VLOOKUP(B302,DB_Locations!A:D,4,FALSE),
    D302-INDEX(DB_Paiements!$E$2:$E$1000,MATCH(B302&amp;(C302-1),DB_Paiements!$B$2:$B$1000&amp;DB_Paiements!$C$2:$C$1000,0))
)</f>
        <v>24</v>
      </c>
      <c r="I302" s="111"/>
    </row>
    <row r="303" spans="1:9" ht="15.75" x14ac:dyDescent="0.25">
      <c r="A303" s="15" t="s">
        <v>2281</v>
      </c>
      <c r="B303" s="15" t="s">
        <v>2280</v>
      </c>
      <c r="C303" s="15">
        <v>1</v>
      </c>
      <c r="D303" s="62">
        <v>45873</v>
      </c>
      <c r="E303" s="62">
        <v>45903</v>
      </c>
      <c r="F303" s="15">
        <f>ROUND((E303-D303+1)/30,0)*INDEX(DB_Locations!H:H,MATCH(B303,DB_Locations!A:A,0))</f>
        <v>190</v>
      </c>
      <c r="G303" s="15" t="s">
        <v>67</v>
      </c>
      <c r="H303" s="64">
        <f t="array" ref="H303">IF(C303=1,
    D303-VLOOKUP(B303,DB_Locations!A:D,4,FALSE),
    D303-INDEX(DB_Paiements!$E$2:$E$1000,MATCH(B303&amp;(C303-1),DB_Paiements!$B$2:$B$1000&amp;DB_Paiements!$C$2:$C$1000,0))
)</f>
        <v>-1</v>
      </c>
      <c r="I303" s="111"/>
    </row>
    <row r="304" spans="1:9" ht="15.75" x14ac:dyDescent="0.25">
      <c r="A304" s="15" t="s">
        <v>2290</v>
      </c>
      <c r="B304" s="15" t="s">
        <v>2289</v>
      </c>
      <c r="C304" s="15">
        <v>1</v>
      </c>
      <c r="D304" s="62">
        <v>45807</v>
      </c>
      <c r="E304" s="62">
        <f ca="1">TODAY()</f>
        <v>45895</v>
      </c>
      <c r="F304" s="15">
        <f ca="1">ROUND((E304-D304+1)/30,0)*INDEX(DB_Locations!H:H,MATCH(B304,DB_Locations!A:A,0))</f>
        <v>1290</v>
      </c>
      <c r="G304" s="15" t="s">
        <v>67</v>
      </c>
      <c r="H304" s="64">
        <f t="array" ref="H304">IF(C304=1,
    D304-VLOOKUP(B304,DB_Locations!A:D,4,FALSE),
    D304-INDEX(DB_Paiements!$E$2:$E$1000,MATCH(B304&amp;(C304-1),DB_Paiements!$B$2:$B$1000&amp;DB_Paiements!$C$2:$C$1000,0))
)</f>
        <v>0</v>
      </c>
      <c r="I304" s="111"/>
    </row>
    <row r="305" spans="1:9" ht="15.75" x14ac:dyDescent="0.25">
      <c r="A305" s="15" t="s">
        <v>2297</v>
      </c>
      <c r="B305" s="15" t="s">
        <v>2296</v>
      </c>
      <c r="C305" s="15">
        <v>1</v>
      </c>
      <c r="D305" s="62">
        <v>45864</v>
      </c>
      <c r="E305" s="62">
        <f ca="1">TODAY()</f>
        <v>45895</v>
      </c>
      <c r="F305" s="15">
        <f ca="1">ROUND((E305-D305+1)/30,0)*INDEX(DB_Locations!H:H,MATCH(B305,DB_Locations!A:A,0))</f>
        <v>430</v>
      </c>
      <c r="G305" s="15" t="s">
        <v>67</v>
      </c>
      <c r="H305" s="64">
        <f t="array" ref="H305">IF(C305=1,
    D305-VLOOKUP(B305,DB_Locations!A:D,4,FALSE),
    D305-INDEX(DB_Paiements!$E$2:$E$1000,MATCH(B305&amp;(C305-1),DB_Paiements!$B$2:$B$1000&amp;DB_Paiements!$C$2:$C$1000,0))
)</f>
        <v>0</v>
      </c>
      <c r="I305" s="111"/>
    </row>
    <row r="306" spans="1:9" ht="15.75" x14ac:dyDescent="0.25">
      <c r="A306" s="15" t="s">
        <v>2302</v>
      </c>
      <c r="B306" s="15" t="s">
        <v>2301</v>
      </c>
      <c r="C306" s="15">
        <v>1</v>
      </c>
      <c r="D306" s="15" t="s">
        <v>984</v>
      </c>
      <c r="E306" s="15" t="s">
        <v>984</v>
      </c>
      <c r="F306" s="15" t="e">
        <f>ROUND((E306-D306+1)/30,0)*INDEX(DB_Locations!H:H,MATCH(B306,DB_Locations!A:A,0))</f>
        <v>#VALUE!</v>
      </c>
      <c r="G306" s="15" t="s">
        <v>67</v>
      </c>
      <c r="H306" s="64" t="e">
        <f t="array" ref="H306">IF(C306=1,
    D306-VLOOKUP(B306,DB_Locations!A:D,4,FALSE),
    D306-INDEX(DB_Paiements!$E$2:$E$1000,MATCH(B306&amp;(C306-1),DB_Paiements!$B$2:$B$1000&amp;DB_Paiements!$C$2:$C$1000,0))
)</f>
        <v>#VALUE!</v>
      </c>
      <c r="I306" s="111"/>
    </row>
    <row r="307" spans="1:9" ht="15.75" x14ac:dyDescent="0.25">
      <c r="A307" s="15" t="s">
        <v>2307</v>
      </c>
      <c r="B307" s="15"/>
      <c r="C307" s="15"/>
      <c r="D307" s="62"/>
      <c r="E307" s="62"/>
      <c r="F307" s="15" t="e">
        <f>ROUND((E307-D307+1)/30,0)*INDEX(DB_Locations!H:H,MATCH(B307,DB_Locations!A:A,0))</f>
        <v>#N/A</v>
      </c>
      <c r="G307" s="15"/>
      <c r="H307" s="64" t="e">
        <f t="array" ref="H307">IF(C307=1,
    D307-VLOOKUP(B307,DB_Locations!A:D,4,FALSE),
    D307-INDEX(DB_Paiements!$E$2:$E$1000,MATCH(B307&amp;(C307-1),DB_Paiements!$B$2:$B$1000&amp;DB_Paiements!$C$2:$C$1000,0))
)</f>
        <v>#N/A</v>
      </c>
      <c r="I307" s="111"/>
    </row>
    <row r="308" spans="1:9" ht="15.75" x14ac:dyDescent="0.25">
      <c r="A308" s="15" t="s">
        <v>2308</v>
      </c>
      <c r="B308" s="15" t="s">
        <v>2306</v>
      </c>
      <c r="C308" s="15">
        <v>1</v>
      </c>
      <c r="D308" s="62">
        <v>45786</v>
      </c>
      <c r="E308" s="62">
        <v>45877</v>
      </c>
      <c r="F308" s="15">
        <f>ROUND((E308-D308+1)/30,0)*INDEX(DB_Locations!H:H,MATCH(B308,DB_Locations!A:A,0))</f>
        <v>1290</v>
      </c>
      <c r="G308" s="15" t="s">
        <v>67</v>
      </c>
      <c r="H308" s="64">
        <f t="array" ref="H308">IF(C308=1,
    D308-VLOOKUP(B308,DB_Locations!A:D,4,FALSE),
    D308-INDEX(DB_Paiements!$E$2:$E$1000,MATCH(B308&amp;(C308-1),DB_Paiements!$B$2:$B$1000&amp;DB_Paiements!$C$2:$C$1000,0))
)</f>
        <v>1</v>
      </c>
      <c r="I308" s="111"/>
    </row>
    <row r="309" spans="1:9" ht="15.75" x14ac:dyDescent="0.25">
      <c r="A309" s="15" t="s">
        <v>2313</v>
      </c>
      <c r="B309" s="15"/>
      <c r="C309" s="15"/>
      <c r="D309" s="62"/>
      <c r="E309" s="62"/>
      <c r="F309" s="15" t="e">
        <f>ROUND((E309-D309+1)/30,0)*INDEX(DB_Locations!H:H,MATCH(B309,DB_Locations!A:A,0))</f>
        <v>#N/A</v>
      </c>
      <c r="G309" s="15"/>
      <c r="H309" s="64" t="e">
        <f t="array" ref="H309">IF(C309=1,
    D309-VLOOKUP(B309,DB_Locations!A:D,4,FALSE),
    D309-INDEX(DB_Paiements!$E$2:$E$1000,MATCH(B309&amp;(C309-1),DB_Paiements!$B$2:$B$1000&amp;DB_Paiements!$C$2:$C$1000,0))
)</f>
        <v>#N/A</v>
      </c>
      <c r="I309" s="111"/>
    </row>
    <row r="310" spans="1:9" ht="15.75" x14ac:dyDescent="0.25">
      <c r="A310" s="15" t="s">
        <v>2314</v>
      </c>
      <c r="B310" s="15" t="s">
        <v>2312</v>
      </c>
      <c r="C310" s="15">
        <v>1</v>
      </c>
      <c r="D310" s="62">
        <v>45812</v>
      </c>
      <c r="E310" s="62">
        <v>45903</v>
      </c>
      <c r="F310" s="15">
        <f>ROUND((E310-D310+1)/30,0)*INDEX(DB_Locations!H:H,MATCH(B310,DB_Locations!A:A,0))</f>
        <v>1290</v>
      </c>
      <c r="G310" s="15" t="s">
        <v>67</v>
      </c>
      <c r="H310" s="64">
        <f t="array" ref="H310">IF(C310=1,
    D310-VLOOKUP(B310,DB_Locations!A:D,4,FALSE),
    D310-INDEX(DB_Paiements!$E$2:$E$1000,MATCH(B310&amp;(C310-1),DB_Paiements!$B$2:$B$1000&amp;DB_Paiements!$C$2:$C$1000,0))
)</f>
        <v>2</v>
      </c>
      <c r="I310" s="111"/>
    </row>
    <row r="311" spans="1:9" ht="15.75" x14ac:dyDescent="0.25">
      <c r="A311" s="15" t="s">
        <v>2333</v>
      </c>
      <c r="B311" s="15" t="s">
        <v>2332</v>
      </c>
      <c r="C311" s="15">
        <v>1</v>
      </c>
      <c r="D311" s="62">
        <f ca="1">TODAY()</f>
        <v>45895</v>
      </c>
      <c r="E311" s="62">
        <v>45889</v>
      </c>
      <c r="F311" s="15">
        <f ca="1">ROUND((E311-D311+1)/30,0)*INDEX(DB_Locations!H:H,MATCH(B311,DB_Locations!A:A,0))</f>
        <v>0</v>
      </c>
      <c r="G311" s="15" t="s">
        <v>288</v>
      </c>
      <c r="H311" s="64">
        <f t="array" aca="1" ref="H311" ca="1">IF(C311=1,
    D311-VLOOKUP(B311,DB_Locations!A:D,4,FALSE),
    D311-INDEX(DB_Paiements!$E$2:$E$1000,MATCH(B311&amp;(C311-1),DB_Paiements!$B$2:$B$1000&amp;DB_Paiements!$C$2:$C$1000,0))
)</f>
        <v>6</v>
      </c>
      <c r="I311" s="111"/>
    </row>
    <row r="312" spans="1:9" ht="15.75" x14ac:dyDescent="0.25">
      <c r="A312" s="15" t="s">
        <v>2335</v>
      </c>
      <c r="B312" s="15"/>
      <c r="C312" s="15"/>
      <c r="D312" s="62"/>
      <c r="E312" s="62"/>
      <c r="F312" s="15" t="e">
        <f>ROUND((E312-D312+1)/30,0)*INDEX(DB_Locations!H:H,MATCH(B312,DB_Locations!A:A,0))</f>
        <v>#N/A</v>
      </c>
      <c r="G312" s="15"/>
      <c r="H312" s="64" t="e">
        <f t="array" ref="H312">IF(C312=1,
    D312-VLOOKUP(B312,DB_Locations!A:D,4,FALSE),
    D312-INDEX(DB_Paiements!$E$2:$E$1000,MATCH(B312&amp;(C312-1),DB_Paiements!$B$2:$B$1000&amp;DB_Paiements!$C$2:$C$1000,0))
)</f>
        <v>#N/A</v>
      </c>
      <c r="I312" s="111"/>
    </row>
    <row r="313" spans="1:9" ht="15.75" x14ac:dyDescent="0.25">
      <c r="A313" s="15" t="s">
        <v>2348</v>
      </c>
      <c r="B313" s="15"/>
      <c r="C313" s="15"/>
      <c r="D313" s="62"/>
      <c r="E313" s="62"/>
      <c r="F313" s="15" t="e">
        <f>ROUND((E313-D313+1)/30,0)*INDEX(DB_Locations!H:H,MATCH(B313,DB_Locations!A:A,0))</f>
        <v>#N/A</v>
      </c>
      <c r="G313" s="15"/>
      <c r="H313" s="166" t="e">
        <f t="array" ref="H313">IF(C313=1,
    D313-VLOOKUP(B313,DB_Locations!A:D,4,FALSE),
    D313-INDEX(DB_Paiements!$E$2:$E$1000,MATCH(B313&amp;(C313-1),DB_Paiements!$B$2:$B$1000&amp;DB_Paiements!$C$2:$C$1000,0))
)</f>
        <v>#N/A</v>
      </c>
      <c r="I313" s="111"/>
    </row>
    <row r="314" spans="1:9" ht="15.75" x14ac:dyDescent="0.25">
      <c r="A314" s="15" t="s">
        <v>2365</v>
      </c>
      <c r="B314" s="15" t="s">
        <v>2362</v>
      </c>
      <c r="C314" s="15">
        <v>1</v>
      </c>
      <c r="D314" s="62">
        <f ca="1">TODAY()</f>
        <v>45895</v>
      </c>
      <c r="E314" s="62">
        <v>45892</v>
      </c>
      <c r="F314" s="15">
        <f ca="1">ROUND((E314-D314+1)/30,0)*INDEX(DB_Locations!H:H,MATCH(B314,DB_Locations!A:A,0))</f>
        <v>0</v>
      </c>
      <c r="G314" s="15" t="s">
        <v>67</v>
      </c>
      <c r="H314" s="64">
        <f t="array" aca="1" ref="H314" ca="1">IF(C314=1,
    D314-VLOOKUP(B314,DB_Locations!A:D,4,FALSE),
    D314-INDEX(DB_Paiements!$E$2:$E$1000,MATCH(B314&amp;(C314-1),DB_Paiements!$B$2:$B$1000&amp;DB_Paiements!$C$2:$C$1000,0))
)</f>
        <v>3</v>
      </c>
      <c r="I314" s="111"/>
    </row>
    <row r="315" spans="1:9" ht="15.75" x14ac:dyDescent="0.25">
      <c r="A315" s="15" t="s">
        <v>2368</v>
      </c>
      <c r="B315" s="15" t="s">
        <v>2363</v>
      </c>
      <c r="C315" s="15">
        <v>1</v>
      </c>
      <c r="D315" s="62">
        <v>45892</v>
      </c>
      <c r="E315" s="62">
        <f ca="1">TODAY()</f>
        <v>45895</v>
      </c>
      <c r="F315" s="15" t="e">
        <f ca="1">ROUND((E315-D315+1)/30,0)*INDEX(DB_Locations!H:H,MATCH(B315,DB_Locations!A:A,0))</f>
        <v>#VALUE!</v>
      </c>
      <c r="G315" s="15" t="s">
        <v>67</v>
      </c>
      <c r="H315" s="64">
        <f t="array" ref="H315">IF(C315=1,
    D315-VLOOKUP(B315,DB_Locations!A:D,4,FALSE),
    D315-INDEX(DB_Paiements!$E$2:$E$1000,MATCH(B315&amp;(C315-1),DB_Paiements!$B$2:$B$1000&amp;DB_Paiements!$C$2:$C$1000,0))
)</f>
        <v>0</v>
      </c>
      <c r="I315" s="111"/>
    </row>
    <row r="316" spans="1:9" ht="15.75" x14ac:dyDescent="0.25">
      <c r="A316" s="15" t="s">
        <v>2426</v>
      </c>
      <c r="B316" s="15" t="s">
        <v>1087</v>
      </c>
      <c r="C316" s="15">
        <v>2</v>
      </c>
      <c r="D316" s="62">
        <v>45877</v>
      </c>
      <c r="E316" s="62">
        <v>45968</v>
      </c>
      <c r="F316" s="15">
        <f>ROUND((E316-D316+1)/30,0)*INDEX(DB_Locations!H:H,MATCH(B316,DB_Locations!A:A,0))</f>
        <v>570</v>
      </c>
      <c r="G316" s="15" t="s">
        <v>67</v>
      </c>
      <c r="H316" s="64">
        <f t="array" ref="H316">IF(C316=1,
    D316-VLOOKUP(B316,DB_Locations!A:D,4,FALSE),
    D316-INDEX(DB_Paiements!$E$2:$E$1000,MATCH(B316&amp;(C316-1),DB_Paiements!$B$2:$B$1000&amp;DB_Paiements!$C$2:$C$1000,0))
)</f>
        <v>32</v>
      </c>
      <c r="I316" s="111"/>
    </row>
    <row r="317" spans="1:9" ht="15.75" x14ac:dyDescent="0.25">
      <c r="A317" s="15" t="s">
        <v>2427</v>
      </c>
      <c r="B317" s="15" t="s">
        <v>1124</v>
      </c>
      <c r="C317" s="15">
        <v>2</v>
      </c>
      <c r="D317" s="62">
        <v>45877</v>
      </c>
      <c r="E317" s="62">
        <v>46060</v>
      </c>
      <c r="F317" s="15">
        <f>ROUND((E317-D317+1)/30,0)*INDEX(DB_Locations!H:H,MATCH(B317,DB_Locations!A:A,0))</f>
        <v>2580</v>
      </c>
      <c r="G317" s="15" t="s">
        <v>67</v>
      </c>
      <c r="H317" s="64">
        <f t="array" ref="H317">IF(C317=1,
    D317-VLOOKUP(B317,DB_Locations!A:D,4,FALSE),
    D317-INDEX(DB_Paiements!$E$2:$E$1000,MATCH(B317&amp;(C317-1),DB_Paiements!$B$2:$B$1000&amp;DB_Paiements!$C$2:$C$1000,0))
)</f>
        <v>32</v>
      </c>
      <c r="I317" s="111"/>
    </row>
    <row r="318" spans="1:9" ht="15.75" x14ac:dyDescent="0.25">
      <c r="A318" s="15" t="s">
        <v>2440</v>
      </c>
      <c r="B318" s="15" t="s">
        <v>1327</v>
      </c>
      <c r="C318" s="15">
        <v>3</v>
      </c>
      <c r="D318" s="62">
        <v>45854</v>
      </c>
      <c r="E318" s="62">
        <v>45945</v>
      </c>
      <c r="F318" s="15">
        <f>ROUND((E318-D318+1)/30,0)*INDEX(DB_Locations!H:H,MATCH(B318,DB_Locations!A:A,0))</f>
        <v>570</v>
      </c>
      <c r="G318" s="15" t="s">
        <v>67</v>
      </c>
      <c r="H318" s="64">
        <f t="array" ref="H318">IF(C318=1,
    D318-VLOOKUP(B318,DB_Locations!A:D,4,FALSE),
    D318-INDEX(DB_Paiements!$E$2:$E$1000,MATCH(B318&amp;(C318-1),DB_Paiements!$B$2:$B$1000&amp;DB_Paiements!$C$2:$C$1000,0))
)</f>
        <v>26</v>
      </c>
      <c r="I318" s="111"/>
    </row>
    <row r="319" spans="1:9" ht="15.75" x14ac:dyDescent="0.25">
      <c r="A319" s="15" t="s">
        <v>2441</v>
      </c>
      <c r="B319" s="15" t="s">
        <v>1328</v>
      </c>
      <c r="C319" s="15">
        <v>3</v>
      </c>
      <c r="D319" s="62">
        <v>45854</v>
      </c>
      <c r="E319" s="62">
        <v>46037</v>
      </c>
      <c r="F319" s="15">
        <f>ROUND((E319-D319+1)/30,0)*INDEX(DB_Locations!H:H,MATCH(B319,DB_Locations!A:A,0))</f>
        <v>2580</v>
      </c>
      <c r="G319" s="15" t="s">
        <v>67</v>
      </c>
      <c r="H319" s="64">
        <f t="array" ref="H319">IF(C319=1,
    D319-VLOOKUP(B319,DB_Locations!A:D,4,FALSE),
    D319-INDEX(DB_Paiements!$E$2:$E$1000,MATCH(B319&amp;(C319-1),DB_Paiements!$B$2:$B$1000&amp;DB_Paiements!$C$2:$C$1000,0))
)</f>
        <v>26</v>
      </c>
      <c r="I319" s="111"/>
    </row>
    <row r="320" spans="1:9" ht="15.75" x14ac:dyDescent="0.25">
      <c r="A320" s="15" t="s">
        <v>2484</v>
      </c>
      <c r="B320" s="15" t="s">
        <v>1422</v>
      </c>
      <c r="C320" s="15">
        <v>3</v>
      </c>
      <c r="D320" s="62">
        <v>45860</v>
      </c>
      <c r="E320" s="62">
        <v>45951</v>
      </c>
      <c r="F320" s="15">
        <f>ROUND((E320-D320+1)/30,0)*INDEX(DB_Locations!H:H,MATCH(B320,DB_Locations!A:A,0))</f>
        <v>570</v>
      </c>
      <c r="G320" s="15" t="s">
        <v>67</v>
      </c>
      <c r="H320" s="64">
        <f t="array" ref="H320">IF(C320=1,
    D320-VLOOKUP(B320,DB_Locations!A:D,4,FALSE),
    D320-INDEX(DB_Paiements!$E$2:$E$1000,MATCH(B320&amp;(C320-1),DB_Paiements!$B$2:$B$1000&amp;DB_Paiements!$C$2:$C$1000,0))
)</f>
        <v>1</v>
      </c>
      <c r="I320" s="111"/>
    </row>
    <row r="321" spans="1:9" ht="15.75" x14ac:dyDescent="0.25">
      <c r="A321" s="15" t="s">
        <v>2493</v>
      </c>
      <c r="B321" s="15" t="s">
        <v>1422</v>
      </c>
      <c r="C321" s="15">
        <v>4</v>
      </c>
      <c r="D321" s="62">
        <v>45584</v>
      </c>
      <c r="E321" s="62">
        <v>45769</v>
      </c>
      <c r="F321" s="15">
        <v>400</v>
      </c>
      <c r="G321" s="15" t="s">
        <v>626</v>
      </c>
      <c r="H321" s="64">
        <v>0</v>
      </c>
      <c r="I321" s="168" t="s">
        <v>2497</v>
      </c>
    </row>
    <row r="322" spans="1:9" ht="15.75" x14ac:dyDescent="0.25">
      <c r="A322" s="15" t="s">
        <v>2494</v>
      </c>
      <c r="B322" s="15" t="s">
        <v>1422</v>
      </c>
      <c r="C322" s="15">
        <v>5</v>
      </c>
      <c r="D322" s="62">
        <v>45769</v>
      </c>
      <c r="E322" s="62">
        <v>45859</v>
      </c>
      <c r="F322" s="15">
        <v>400</v>
      </c>
      <c r="G322" s="15" t="s">
        <v>626</v>
      </c>
      <c r="H322" s="64">
        <f t="array" ref="H322">IF(C322=1,
    D322-VLOOKUP(B322,DB_Locations!A:D,4,FALSE),
    D322-INDEX(DB_Paiements!$E$2:$E$1000,MATCH(B322&amp;(C322-1),DB_Paiements!$B$2:$B$1000&amp;DB_Paiements!$C$2:$C$1000,0))
)</f>
        <v>0</v>
      </c>
      <c r="I322" s="168" t="s">
        <v>2497</v>
      </c>
    </row>
    <row r="323" spans="1:9" ht="15.75" x14ac:dyDescent="0.25">
      <c r="A323" s="15" t="s">
        <v>2495</v>
      </c>
      <c r="B323" s="15" t="s">
        <v>1422</v>
      </c>
      <c r="C323" s="15">
        <v>6</v>
      </c>
      <c r="D323" s="62">
        <v>45860</v>
      </c>
      <c r="E323" s="62">
        <v>45951</v>
      </c>
      <c r="F323" s="15">
        <v>0</v>
      </c>
      <c r="G323" s="15" t="s">
        <v>626</v>
      </c>
      <c r="H323" s="64">
        <v>0</v>
      </c>
      <c r="I323" s="168" t="s">
        <v>2497</v>
      </c>
    </row>
    <row r="324" spans="1:9" ht="15.75" x14ac:dyDescent="0.25">
      <c r="A324" s="15" t="s">
        <v>2499</v>
      </c>
      <c r="B324" s="15" t="s">
        <v>2498</v>
      </c>
      <c r="C324" s="15">
        <v>1</v>
      </c>
      <c r="D324" s="62">
        <v>45885</v>
      </c>
      <c r="E324" s="62">
        <v>45900</v>
      </c>
      <c r="F324" s="15">
        <v>200</v>
      </c>
      <c r="G324" s="15" t="s">
        <v>626</v>
      </c>
      <c r="H324" s="64" t="e">
        <f t="array" ref="H324">IF(C324=1,
    D324-VLOOKUP(B324,DB_Locations!A:D,4,FALSE),
    D324-INDEX(DB_Paiements!$E$2:$E$1000,MATCH(B324&amp;(C324-1),DB_Paiements!$B$2:$B$1000&amp;DB_Paiements!$C$2:$C$1000,0))
)</f>
        <v>#N/A</v>
      </c>
      <c r="I324" s="111"/>
    </row>
    <row r="325" spans="1:9" ht="15.75" x14ac:dyDescent="0.25">
      <c r="A325" s="15" t="s">
        <v>2503</v>
      </c>
      <c r="B325" s="15" t="s">
        <v>1442</v>
      </c>
      <c r="C325" s="15">
        <v>2</v>
      </c>
      <c r="D325" s="62">
        <v>45832</v>
      </c>
      <c r="E325" s="62">
        <v>45923</v>
      </c>
      <c r="F325" s="67">
        <f>ROUND((E325-D325+1)/30,0)*INDEX(DB_Locations!H:H,MATCH(B325,DB_Locations!A:A,0))</f>
        <v>570</v>
      </c>
      <c r="G325" s="15" t="s">
        <v>67</v>
      </c>
      <c r="H325" s="64">
        <f t="array" ref="H325">IF(C325=1,
    D325-VLOOKUP(B325,DB_Locations!A:D,4,FALSE),
    D325-INDEX(DB_Paiements!$E$2:$E$1000,MATCH(B325&amp;(C325-1),DB_Paiements!$B$2:$B$1000&amp;DB_Paiements!$C$2:$C$1000,0))
)</f>
        <v>1</v>
      </c>
      <c r="I325" s="111"/>
    </row>
    <row r="326" spans="1:9" ht="15.75" x14ac:dyDescent="0.25">
      <c r="A326" s="111"/>
      <c r="B326" s="15"/>
      <c r="C326" s="15"/>
      <c r="D326" s="15"/>
      <c r="E326" s="15"/>
      <c r="F326" s="15"/>
      <c r="G326" s="15"/>
      <c r="H326" s="64"/>
      <c r="I326" s="111"/>
    </row>
    <row r="327" spans="1:9" ht="15.75" x14ac:dyDescent="0.25">
      <c r="A327" s="111"/>
      <c r="B327" s="15"/>
      <c r="C327" s="15"/>
      <c r="D327" s="15"/>
      <c r="E327" s="15"/>
      <c r="F327" s="15"/>
      <c r="G327" s="15"/>
      <c r="H327" s="64"/>
      <c r="I327" s="111"/>
    </row>
    <row r="328" spans="1:9" ht="15.75" x14ac:dyDescent="0.25">
      <c r="A328" s="111"/>
      <c r="B328" s="15"/>
      <c r="C328" s="15"/>
      <c r="D328" s="15"/>
      <c r="E328" s="15"/>
      <c r="F328" s="15"/>
      <c r="G328" s="15"/>
      <c r="H328" s="64"/>
      <c r="I328" s="111"/>
    </row>
    <row r="329" spans="1:9" ht="15.75" x14ac:dyDescent="0.25">
      <c r="A329" s="111"/>
      <c r="B329" s="15"/>
      <c r="C329" s="15"/>
      <c r="D329" s="15"/>
      <c r="E329" s="15"/>
      <c r="F329" s="15"/>
      <c r="G329" s="15"/>
      <c r="H329" s="64"/>
      <c r="I329" s="111"/>
    </row>
    <row r="330" spans="1:9" ht="15.75" x14ac:dyDescent="0.25">
      <c r="A330" s="111"/>
      <c r="B330" s="15"/>
      <c r="C330" s="15"/>
      <c r="D330" s="15"/>
      <c r="E330" s="15"/>
      <c r="F330" s="15"/>
      <c r="G330" s="15"/>
      <c r="H330" s="64"/>
      <c r="I330" s="111"/>
    </row>
    <row r="331" spans="1:9" ht="15.75" x14ac:dyDescent="0.25">
      <c r="A331" s="111"/>
      <c r="B331" s="15"/>
      <c r="C331" s="15"/>
      <c r="D331" s="15"/>
      <c r="E331" s="15"/>
      <c r="F331" s="15"/>
      <c r="G331" s="15"/>
      <c r="H331" s="64"/>
      <c r="I331" s="111"/>
    </row>
    <row r="332" spans="1:9" ht="15.75" x14ac:dyDescent="0.25">
      <c r="A332" s="111"/>
      <c r="B332" s="15"/>
      <c r="C332" s="15"/>
      <c r="D332" s="15"/>
      <c r="E332" s="15"/>
      <c r="F332" s="15"/>
      <c r="G332" s="15"/>
      <c r="H332" s="64"/>
      <c r="I332" s="111"/>
    </row>
  </sheetData>
  <autoFilter ref="A1:H325" xr:uid="{00000000-0001-0000-0500-000000000000}"/>
  <phoneticPr fontId="11" type="noConversion"/>
  <pageMargins left="0.75" right="0.75" top="1" bottom="1" header="0.5" footer="0.5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1"/>
  <sheetViews>
    <sheetView topLeftCell="A47" workbookViewId="0">
      <selection activeCell="F59" sqref="F59"/>
    </sheetView>
  </sheetViews>
  <sheetFormatPr defaultRowHeight="15" x14ac:dyDescent="0.25"/>
  <cols>
    <col min="1" max="1" width="57.7109375" customWidth="1"/>
    <col min="2" max="2" width="15" customWidth="1"/>
  </cols>
  <sheetData>
    <row r="1" spans="1:2" x14ac:dyDescent="0.25">
      <c r="A1" s="2" t="s">
        <v>162</v>
      </c>
      <c r="B1" s="2" t="s">
        <v>144</v>
      </c>
    </row>
    <row r="2" spans="1:2" x14ac:dyDescent="0.25">
      <c r="A2" t="str">
        <f>IF(DB_Locations!I2="Actif",INDEX(DB_Patients!B:B,MATCH(DB_Locations!B2,DB_Patients!A:A,0))&amp;" - "&amp;INDEX(DB_Appareils!B:B,MATCH(DB_Locations!C2,DB_Appareils!A:A,0))&amp;" ("&amp;DB_Locations!A2&amp;")","")</f>
        <v>FERJENI FRADJ - VNI  (LOC0001)</v>
      </c>
      <c r="B2" t="str">
        <f>IF(DB_Locations!I2="Actif",DB_Locations!A2,"")</f>
        <v>LOC0001</v>
      </c>
    </row>
    <row r="3" spans="1:2" x14ac:dyDescent="0.25">
      <c r="A3" t="str">
        <f>IF(DB_Locations!I3="Actif",INDEX(DB_Patients!B:B,MATCH(DB_Locations!B3,DB_Patients!A:A,0))&amp;" - "&amp;INDEX(DB_Appareils!B:B,MATCH(DB_Locations!C3,DB_Appareils!A:A,0))&amp;" ("&amp;DB_Locations!A3&amp;")","")</f>
        <v>FERJENI FRADJ - CONCENTRATEUR O2  (LOC0002)</v>
      </c>
      <c r="B3" t="str">
        <f>IF(DB_Locations!I3="Actif",DB_Locations!A3,"")</f>
        <v>LOC0002</v>
      </c>
    </row>
    <row r="4" spans="1:2" x14ac:dyDescent="0.25">
      <c r="A4" t="str">
        <f>IF(DB_Locations!I4="Actif",INDEX(DB_Patients!B:B,MATCH(DB_Locations!B4,DB_Patients!A:A,0))&amp;" - "&amp;INDEX(DB_Appareils!B:B,MATCH(DB_Locations!C4,DB_Appareils!A:A,0))&amp;" ("&amp;DB_Locations!A4&amp;")","")</f>
        <v>LOUATI SALEM - VNI (LOC0003)</v>
      </c>
      <c r="B4" t="str">
        <f>IF(DB_Locations!I4="Actif",DB_Locations!A4,"")</f>
        <v>LOC0003</v>
      </c>
    </row>
    <row r="5" spans="1:2" x14ac:dyDescent="0.25">
      <c r="A5" t="str">
        <f>IF(DB_Locations!I5="Actif",INDEX(DB_Patients!B:B,MATCH(DB_Locations!B5,DB_Patients!A:A,0))&amp;" - "&amp;INDEX(DB_Appareils!B:B,MATCH(DB_Locations!C5,DB_Appareils!A:A,0))&amp;" ("&amp;DB_Locations!A5&amp;")","")</f>
        <v>BOUKHRISS AMEUR - CONCENTRATEUR O2 (LOC0004)</v>
      </c>
      <c r="B5" t="str">
        <f>IF(DB_Locations!I5="Actif",DB_Locations!A5,"")</f>
        <v>LOC0004</v>
      </c>
    </row>
    <row r="6" spans="1:2" x14ac:dyDescent="0.25">
      <c r="A6" t="str">
        <f>IF(DB_Locations!I6="Actif",INDEX(DB_Patients!B:B,MATCH(DB_Locations!B6,DB_Patients!A:A,0))&amp;" - "&amp;INDEX(DB_Appareils!B:B,MATCH(DB_Locations!C6,DB_Appareils!A:A,0))&amp;" ("&amp;DB_Locations!A6&amp;")","")</f>
        <v>BOUKHRISS AMEUR - VNI (LOC0005)</v>
      </c>
      <c r="B6" t="str">
        <f>IF(DB_Locations!I6="Actif",DB_Locations!A6,"")</f>
        <v>LOC0005</v>
      </c>
    </row>
    <row r="7" spans="1:2" x14ac:dyDescent="0.25">
      <c r="A7" t="str">
        <f>IF(DB_Locations!I7="Actif",INDEX(DB_Patients!B:B,MATCH(DB_Locations!B7,DB_Patients!A:A,0))&amp;" - "&amp;INDEX(DB_Appareils!B:B,MATCH(DB_Locations!C7,DB_Appareils!A:A,0))&amp;" ("&amp;DB_Locations!A7&amp;")","")</f>
        <v>LOUATI SALEM - CONCENTRATEUR O2 (LOC0006)</v>
      </c>
      <c r="B7" t="str">
        <f>IF(DB_Locations!I7="Actif",DB_Locations!A7,"")</f>
        <v>LOC0006</v>
      </c>
    </row>
    <row r="8" spans="1:2" x14ac:dyDescent="0.25">
      <c r="A8" t="str">
        <f>IF(DB_Locations!I8="Actif",INDEX(DB_Patients!B:B,MATCH(DB_Locations!B8,DB_Patients!A:A,0))&amp;" - "&amp;INDEX(DB_Appareils!B:B,MATCH(DB_Locations!C8,DB_Appareils!A:A,0))&amp;" ("&amp;DB_Locations!A8&amp;")","")</f>
        <v>DOUIB MED BEN HASSEN - VNI (LOC0007)</v>
      </c>
      <c r="B8" t="str">
        <f>IF(DB_Locations!I8="Actif",DB_Locations!A8,"")</f>
        <v>LOC0007</v>
      </c>
    </row>
    <row r="9" spans="1:2" x14ac:dyDescent="0.25">
      <c r="A9" t="str">
        <f>IF(DB_Locations!I9="Actif",INDEX(DB_Patients!B:B,MATCH(DB_Locations!B9,DB_Patients!A:A,0))&amp;" - "&amp;INDEX(DB_Appareils!B:B,MATCH(DB_Locations!C9,DB_Appareils!A:A,0))&amp;" ("&amp;DB_Locations!A9&amp;")","")</f>
        <v>DOUIB MED BEN HASSEN - CONCENTRATEUR O2 (LOC0008)</v>
      </c>
      <c r="B9" t="str">
        <f>IF(DB_Locations!I9="Actif",DB_Locations!A9,"")</f>
        <v>LOC0008</v>
      </c>
    </row>
    <row r="10" spans="1:2" x14ac:dyDescent="0.25">
      <c r="A10" t="str">
        <f>IF(DB_Locations!I10="Actif",INDEX(DB_Patients!B:B,MATCH(DB_Locations!B10,DB_Patients!A:A,0))&amp;" - "&amp;INDEX(DB_Appareils!B:B,MATCH(DB_Locations!C10,DB_Appareils!A:A,0))&amp;" ("&amp;DB_Locations!A10&amp;")","")</f>
        <v>BOUASKER AHMED - VNI (LOC0009)</v>
      </c>
      <c r="B10" t="str">
        <f>IF(DB_Locations!I10="Actif",DB_Locations!A10,"")</f>
        <v>LOC0009</v>
      </c>
    </row>
    <row r="11" spans="1:2" x14ac:dyDescent="0.25">
      <c r="A11" t="str">
        <f>IF(DB_Locations!I11="Actif",INDEX(DB_Patients!B:B,MATCH(DB_Locations!B11,DB_Patients!A:A,0))&amp;" - "&amp;INDEX(DB_Appareils!B:B,MATCH(DB_Locations!C11,DB_Appareils!A:A,0))&amp;" ("&amp;DB_Locations!A11&amp;")","")</f>
        <v>JALLED SELMA - CONCENTRATEUR O2 (LOC0010)</v>
      </c>
      <c r="B11" t="str">
        <f>IF(DB_Locations!I11="Actif",DB_Locations!A11,"")</f>
        <v>LOC0010</v>
      </c>
    </row>
    <row r="12" spans="1:2" x14ac:dyDescent="0.25">
      <c r="A12" t="str">
        <f>IF(DB_Locations!I12="Actif",INDEX(DB_Patients!B:B,MATCH(DB_Locations!B12,DB_Patients!A:A,0))&amp;" - "&amp;INDEX(DB_Appareils!B:B,MATCH(DB_Locations!C12,DB_Appareils!A:A,0))&amp;" ("&amp;DB_Locations!A12&amp;")","")</f>
        <v>JALLED SELMA - VNI (LOC0011)</v>
      </c>
      <c r="B12" t="str">
        <f>IF(DB_Locations!I12="Actif",DB_Locations!A12,"")</f>
        <v>LOC0011</v>
      </c>
    </row>
    <row r="13" spans="1:2" x14ac:dyDescent="0.25">
      <c r="A13" t="str">
        <f>IF(DB_Locations!I13="Actif",INDEX(DB_Patients!B:B,MATCH(DB_Locations!B13,DB_Patients!A:A,0))&amp;" - "&amp;INDEX(DB_Appareils!B:B,MATCH(DB_Locations!C13,DB_Appareils!A:A,0))&amp;" ("&amp;DB_Locations!A13&amp;")","")</f>
        <v>HOUCIN MONCEF - CONCENTRATEUR O2 (LOC0012)</v>
      </c>
      <c r="B13" t="str">
        <f>IF(DB_Locations!I13="Actif",DB_Locations!A13,"")</f>
        <v>LOC0012</v>
      </c>
    </row>
    <row r="14" spans="1:2" x14ac:dyDescent="0.25">
      <c r="A14" t="str">
        <f>IF(DB_Locations!I14="Actif",INDEX(DB_Patients!B:B,MATCH(DB_Locations!B14,DB_Patients!A:A,0))&amp;" - "&amp;INDEX(DB_Appareils!B:B,MATCH(DB_Locations!C14,DB_Appareils!A:A,0))&amp;" ("&amp;DB_Locations!A14&amp;")","")</f>
        <v>HOUCIN MONCEF - VNI (LOC0013)</v>
      </c>
      <c r="B14" t="str">
        <f>IF(DB_Locations!I14="Actif",DB_Locations!A14,"")</f>
        <v>LOC0013</v>
      </c>
    </row>
    <row r="15" spans="1:2" x14ac:dyDescent="0.25">
      <c r="A15" t="str">
        <f>IF(DB_Locations!I15="Actif",INDEX(DB_Patients!B:B,MATCH(DB_Locations!B15,DB_Patients!A:A,0))&amp;" - "&amp;INDEX(DB_Appareils!B:B,MATCH(DB_Locations!C15,DB_Appareils!A:A,0))&amp;" ("&amp;DB_Locations!A15&amp;")","")</f>
        <v>AYADI NAIMA - CONCENTRATEUR O2 (LOC0014)</v>
      </c>
      <c r="B15" t="str">
        <f>IF(DB_Locations!I15="Actif",DB_Locations!A15,"")</f>
        <v>LOC0014</v>
      </c>
    </row>
    <row r="16" spans="1:2" x14ac:dyDescent="0.25">
      <c r="A16" t="str">
        <f>IF(DB_Locations!I16="Actif",INDEX(DB_Patients!B:B,MATCH(DB_Locations!B16,DB_Patients!A:A,0))&amp;" - "&amp;INDEX(DB_Appareils!B:B,MATCH(DB_Locations!C16,DB_Appareils!A:A,0))&amp;" ("&amp;DB_Locations!A16&amp;")","")</f>
        <v>AYADI NAIMA - VNI (LOC0015)</v>
      </c>
      <c r="B16" t="str">
        <f>IF(DB_Locations!I16="Actif",DB_Locations!A16,"")</f>
        <v>LOC0015</v>
      </c>
    </row>
    <row r="17" spans="1:2" x14ac:dyDescent="0.25">
      <c r="A17" t="str">
        <f>IF(DB_Locations!I17="Actif",INDEX(DB_Patients!B:B,MATCH(DB_Locations!B17,DB_Patients!A:A,0))&amp;" - "&amp;INDEX(DB_Appareils!B:B,MATCH(DB_Locations!C17,DB_Appareils!A:A,0))&amp;" ("&amp;DB_Locations!A17&amp;")","")</f>
        <v>ZERGUIN FATHI - CONCENTRATEUR O2 (LOC0016)</v>
      </c>
      <c r="B17" t="str">
        <f>IF(DB_Locations!I17="Actif",DB_Locations!A17,"")</f>
        <v>LOC0016</v>
      </c>
    </row>
    <row r="18" spans="1:2" x14ac:dyDescent="0.25">
      <c r="A18" t="str">
        <f>IF(DB_Locations!I18="Actif",INDEX(DB_Patients!B:B,MATCH(DB_Locations!B18,DB_Patients!A:A,0))&amp;" - "&amp;INDEX(DB_Appareils!B:B,MATCH(DB_Locations!C18,DB_Appareils!A:A,0))&amp;" ("&amp;DB_Locations!A18&amp;")","")</f>
        <v>ZERGUIN FATHI - VNI (LOC0017)</v>
      </c>
      <c r="B18" t="str">
        <f>IF(DB_Locations!I18="Actif",DB_Locations!A18,"")</f>
        <v>LOC0017</v>
      </c>
    </row>
    <row r="19" spans="1:2" x14ac:dyDescent="0.25">
      <c r="A19" t="str">
        <f>IF(DB_Locations!I19="Actif",INDEX(DB_Patients!B:B,MATCH(DB_Locations!B19,DB_Patients!A:A,0))&amp;" - "&amp;INDEX(DB_Appareils!B:B,MATCH(DB_Locations!C19,DB_Appareils!A:A,0))&amp;" ("&amp;DB_Locations!A19&amp;")","")</f>
        <v>GHODBHANE BECHIRA - CONCENTRATEUR O2 (LOC0018)</v>
      </c>
      <c r="B19" t="str">
        <f>IF(DB_Locations!I19="Actif",DB_Locations!A19,"")</f>
        <v>LOC0018</v>
      </c>
    </row>
    <row r="20" spans="1:2" x14ac:dyDescent="0.25">
      <c r="A20" t="str">
        <f>IF(DB_Locations!I20="Actif",INDEX(DB_Patients!B:B,MATCH(DB_Locations!B20,DB_Patients!A:A,0))&amp;" - "&amp;INDEX(DB_Appareils!B:B,MATCH(DB_Locations!C20,DB_Appareils!A:A,0))&amp;" ("&amp;DB_Locations!A20&amp;")","")</f>
        <v>GHODBHANE BECHIRA - VNI (LOC0019)</v>
      </c>
      <c r="B20" t="str">
        <f>IF(DB_Locations!I20="Actif",DB_Locations!A20,"")</f>
        <v>LOC0019</v>
      </c>
    </row>
    <row r="21" spans="1:2" x14ac:dyDescent="0.25">
      <c r="A21" t="str">
        <f>IF(DB_Locations!I21="Actif",INDEX(DB_Patients!B:B,MATCH(DB_Locations!B21,DB_Patients!A:A,0))&amp;" - "&amp;INDEX(DB_Appareils!B:B,MATCH(DB_Locations!C21,DB_Appareils!A:A,0))&amp;" ("&amp;DB_Locations!A21&amp;")","")</f>
        <v>BARGUI SALEM - CONCENTRATEUR O2 (LOC0020)</v>
      </c>
      <c r="B21" t="str">
        <f>IF(DB_Locations!I21="Actif",DB_Locations!A21,"")</f>
        <v>LOC0020</v>
      </c>
    </row>
    <row r="22" spans="1:2" x14ac:dyDescent="0.25">
      <c r="A22" t="str">
        <f>IF(DB_Locations!I22="Actif",INDEX(DB_Patients!B:B,MATCH(DB_Locations!B22,DB_Patients!A:A,0))&amp;" - "&amp;INDEX(DB_Appareils!B:B,MATCH(DB_Locations!C22,DB_Appareils!A:A,0))&amp;" ("&amp;DB_Locations!A22&amp;")","")</f>
        <v>BEN AMEUR ALI - CONCENTRATEUR O2 (LOC0021)</v>
      </c>
      <c r="B22" t="str">
        <f>IF(DB_Locations!I22="Actif",DB_Locations!A22,"")</f>
        <v>LOC0021</v>
      </c>
    </row>
    <row r="23" spans="1:2" x14ac:dyDescent="0.25">
      <c r="A23" t="str">
        <f>IF(DB_Locations!I23="Actif",INDEX(DB_Patients!B:B,MATCH(DB_Locations!B23,DB_Patients!A:A,0))&amp;" - "&amp;INDEX(DB_Appareils!B:B,MATCH(DB_Locations!C23,DB_Appareils!A:A,0))&amp;" ("&amp;DB_Locations!A23&amp;")","")</f>
        <v>BEN AMEUR ALI - VNI (LOC0022)</v>
      </c>
      <c r="B23" t="str">
        <f>IF(DB_Locations!I23="Actif",DB_Locations!A23,"")</f>
        <v>LOC0022</v>
      </c>
    </row>
    <row r="24" spans="1:2" x14ac:dyDescent="0.25">
      <c r="A24" t="str">
        <f>IF(DB_Locations!I24="Actif",INDEX(DB_Patients!B:B,MATCH(DB_Locations!B24,DB_Patients!A:A,0))&amp;" - "&amp;INDEX(DB_Appareils!B:B,MATCH(DB_Locations!C24,DB_Appareils!A:A,0))&amp;" ("&amp;DB_Locations!A24&amp;")","")</f>
        <v>BEN AHMED SALEH - CONCENTRATEUR O2 (LOC0023)</v>
      </c>
      <c r="B24" t="str">
        <f>IF(DB_Locations!I24="Actif",DB_Locations!A24,"")</f>
        <v>LOC0023</v>
      </c>
    </row>
    <row r="25" spans="1:2" x14ac:dyDescent="0.25">
      <c r="A25" t="str">
        <f>IF(DB_Locations!I25="Actif",INDEX(DB_Patients!B:B,MATCH(DB_Locations!B25,DB_Patients!A:A,0))&amp;" - "&amp;INDEX(DB_Appareils!B:B,MATCH(DB_Locations!C25,DB_Appareils!A:A,0))&amp;" ("&amp;DB_Locations!A25&amp;")","")</f>
        <v>MOUSSA MOKTHAR - CONCENTRATEUR O2 (LOC0024)</v>
      </c>
      <c r="B25" t="str">
        <f>IF(DB_Locations!I25="Actif",DB_Locations!A25,"")</f>
        <v>LOC0024</v>
      </c>
    </row>
    <row r="26" spans="1:2" x14ac:dyDescent="0.25">
      <c r="A26" t="str">
        <f>IF(DB_Locations!I26="Actif",INDEX(DB_Patients!B:B,MATCH(DB_Locations!B26,DB_Patients!A:A,0))&amp;" - "&amp;INDEX(DB_Appareils!B:B,MATCH(DB_Locations!C26,DB_Appareils!A:A,0))&amp;" ("&amp;DB_Locations!A26&amp;")","")</f>
        <v>MOUSSA MOKTHAR - VNI (LOC0025)</v>
      </c>
      <c r="B26" t="str">
        <f>IF(DB_Locations!I26="Actif",DB_Locations!A26,"")</f>
        <v>LOC0025</v>
      </c>
    </row>
    <row r="27" spans="1:2" x14ac:dyDescent="0.25">
      <c r="A27" t="str">
        <f>IF(DB_Locations!I27="Actif",INDEX(DB_Patients!B:B,MATCH(DB_Locations!B27,DB_Patients!A:A,0))&amp;" - "&amp;INDEX(DB_Appareils!B:B,MATCH(DB_Locations!C27,DB_Appareils!A:A,0))&amp;" ("&amp;DB_Locations!A27&amp;")","")</f>
        <v>MISSAOUI HABIBA - CONCENTRATEUR O2 (LOC0026)</v>
      </c>
      <c r="B27" t="str">
        <f>IF(DB_Locations!I27="Actif",DB_Locations!A27,"")</f>
        <v>LOC0026</v>
      </c>
    </row>
    <row r="28" spans="1:2" x14ac:dyDescent="0.25">
      <c r="A28" t="str">
        <f>IF(DB_Locations!I28="Actif",INDEX(DB_Patients!B:B,MATCH(DB_Locations!B28,DB_Patients!A:A,0))&amp;" - "&amp;INDEX(DB_Appareils!B:B,MATCH(DB_Locations!C28,DB_Appareils!A:A,0))&amp;" ("&amp;DB_Locations!A28&amp;")","")</f>
        <v>MISSAOUI HABIBA - VNI (LOC0027)</v>
      </c>
      <c r="B28" t="str">
        <f>IF(DB_Locations!I28="Actif",DB_Locations!A28,"")</f>
        <v>LOC0027</v>
      </c>
    </row>
    <row r="29" spans="1:2" x14ac:dyDescent="0.25">
      <c r="A29" t="str">
        <f>IF(DB_Locations!I29="Actif",INDEX(DB_Patients!B:B,MATCH(DB_Locations!B29,DB_Patients!A:A,0))&amp;" - "&amp;INDEX(DB_Appareils!B:B,MATCH(DB_Locations!C29,DB_Appareils!A:A,0))&amp;" ("&amp;DB_Locations!A29&amp;")","")</f>
        <v>HAMDI TAHA HOUCEINE - CONCENTRATEUR O2 (LOC0028)</v>
      </c>
      <c r="B29" t="str">
        <f>IF(DB_Locations!I29="Actif",DB_Locations!A29,"")</f>
        <v>LOC0028</v>
      </c>
    </row>
    <row r="30" spans="1:2" x14ac:dyDescent="0.25">
      <c r="A30" t="str">
        <f>IF(DB_Locations!I30="Actif",INDEX(DB_Patients!B:B,MATCH(DB_Locations!B30,DB_Patients!A:A,0))&amp;" - "&amp;INDEX(DB_Appareils!B:B,MATCH(DB_Locations!C30,DB_Appareils!A:A,0))&amp;" ("&amp;DB_Locations!A30&amp;")","")</f>
        <v>CHAIEB SALEH - CONCENTRATEUR O2 (LOC0029)</v>
      </c>
      <c r="B30" t="str">
        <f>IF(DB_Locations!I30="Actif",DB_Locations!A30,"")</f>
        <v>LOC0029</v>
      </c>
    </row>
    <row r="31" spans="1:2" x14ac:dyDescent="0.25">
      <c r="A31" t="str">
        <f>IF(DB_Locations!I31="Actif",INDEX(DB_Patients!B:B,MATCH(DB_Locations!B31,DB_Patients!A:A,0))&amp;" - "&amp;INDEX(DB_Appareils!B:B,MATCH(DB_Locations!C31,DB_Appareils!A:A,0))&amp;" ("&amp;DB_Locations!A31&amp;")","")</f>
        <v>BRAHIM HALIMA - CONCENTRATEUR O2 (LOC0030)</v>
      </c>
      <c r="B31" t="str">
        <f>IF(DB_Locations!I31="Actif",DB_Locations!A31,"")</f>
        <v>LOC0030</v>
      </c>
    </row>
    <row r="32" spans="1:2" x14ac:dyDescent="0.25">
      <c r="A32" t="str">
        <f>IF(DB_Locations!I32="Actif",INDEX(DB_Patients!B:B,MATCH(DB_Locations!B32,DB_Patients!A:A,0))&amp;" - "&amp;INDEX(DB_Appareils!B:B,MATCH(DB_Locations!C32,DB_Appareils!A:A,0))&amp;" ("&amp;DB_Locations!A32&amp;")","")</f>
        <v>BRAHIM HALIMA - VNI (LOC0031)</v>
      </c>
      <c r="B32" t="str">
        <f>IF(DB_Locations!I32="Actif",DB_Locations!A32,"")</f>
        <v>LOC0031</v>
      </c>
    </row>
    <row r="33" spans="1:2" x14ac:dyDescent="0.25">
      <c r="A33" t="str">
        <f>IF(DB_Locations!I33="Actif",INDEX(DB_Patients!B:B,MATCH(DB_Locations!B33,DB_Patients!A:A,0))&amp;" - "&amp;INDEX(DB_Appareils!B:B,MATCH(DB_Locations!C33,DB_Appareils!A:A,0))&amp;" ("&amp;DB_Locations!A33&amp;")","")</f>
        <v>SLIMANE DHAOU - CONCENTRATEUR O2 (LOC0032)</v>
      </c>
      <c r="B33" t="str">
        <f>IF(DB_Locations!I33="Actif",DB_Locations!A33,"")</f>
        <v>LOC0032</v>
      </c>
    </row>
    <row r="34" spans="1:2" x14ac:dyDescent="0.25">
      <c r="A34" t="str">
        <f>IF(DB_Locations!I34="Actif",INDEX(DB_Patients!B:B,MATCH(DB_Locations!B34,DB_Patients!A:A,0))&amp;" - "&amp;INDEX(DB_Appareils!B:B,MATCH(DB_Locations!C34,DB_Appareils!A:A,0))&amp;" ("&amp;DB_Locations!A34&amp;")","")</f>
        <v>SLIMANE DHAOU - VNI  + BOUTEUIL APP0189 (LOC0033)</v>
      </c>
      <c r="B34" t="str">
        <f>IF(DB_Locations!I34="Actif",DB_Locations!A34,"")</f>
        <v>LOC0033</v>
      </c>
    </row>
    <row r="35" spans="1:2" x14ac:dyDescent="0.25">
      <c r="A35" t="str">
        <f>IF(DB_Locations!I35="Actif",INDEX(DB_Patients!B:B,MATCH(DB_Locations!B35,DB_Patients!A:A,0))&amp;" - "&amp;INDEX(DB_Appareils!B:B,MATCH(DB_Locations!C35,DB_Appareils!A:A,0))&amp;" ("&amp;DB_Locations!A35&amp;")","")</f>
        <v>ZAOUI MBARKA - CONCENTRATEUR O2 (LOC0034)</v>
      </c>
      <c r="B35" t="str">
        <f>IF(DB_Locations!I35="Actif",DB_Locations!A35,"")</f>
        <v>LOC0034</v>
      </c>
    </row>
    <row r="36" spans="1:2" x14ac:dyDescent="0.25">
      <c r="A36" t="str">
        <f>IF(DB_Locations!I36="Actif",INDEX(DB_Patients!B:B,MATCH(DB_Locations!B36,DB_Patients!A:A,0))&amp;" - "&amp;INDEX(DB_Appareils!B:B,MATCH(DB_Locations!C36,DB_Appareils!A:A,0))&amp;" ("&amp;DB_Locations!A36&amp;")","")</f>
        <v>ZGOLLI SELMANE - CONCENTRATEUR O2 (LOC0035)</v>
      </c>
      <c r="B36" t="str">
        <f>IF(DB_Locations!I36="Actif",DB_Locations!A36,"")</f>
        <v>LOC0035</v>
      </c>
    </row>
    <row r="37" spans="1:2" x14ac:dyDescent="0.25">
      <c r="A37" t="str">
        <f>IF(DB_Locations!I37="Actif",INDEX(DB_Patients!B:B,MATCH(DB_Locations!B37,DB_Patients!A:A,0))&amp;" - "&amp;INDEX(DB_Appareils!B:B,MATCH(DB_Locations!C37,DB_Appareils!A:A,0))&amp;" ("&amp;DB_Locations!A37&amp;")","")</f>
        <v>JAIDI HOURIA - CONCENTRATEUR O2 (LOC0036)</v>
      </c>
      <c r="B37" t="str">
        <f>IF(DB_Locations!I37="Actif",DB_Locations!A37,"")</f>
        <v>LOC0036</v>
      </c>
    </row>
    <row r="38" spans="1:2" x14ac:dyDescent="0.25">
      <c r="A38" t="str">
        <f>IF(DB_Locations!I38="Actif",INDEX(DB_Patients!B:B,MATCH(DB_Locations!B38,DB_Patients!A:A,0))&amp;" - "&amp;INDEX(DB_Appareils!B:B,MATCH(DB_Locations!C38,DB_Appareils!A:A,0))&amp;" ("&amp;DB_Locations!A38&amp;")","")</f>
        <v>JAIDI HOURIA - VNI (LOC0037)</v>
      </c>
      <c r="B38" t="str">
        <f>IF(DB_Locations!I38="Actif",DB_Locations!A38,"")</f>
        <v>LOC0037</v>
      </c>
    </row>
    <row r="39" spans="1:2" x14ac:dyDescent="0.25">
      <c r="A39" t="str">
        <f>IF(DB_Locations!I39="Actif",INDEX(DB_Patients!B:B,MATCH(DB_Locations!B39,DB_Patients!A:A,0))&amp;" - "&amp;INDEX(DB_Appareils!B:B,MATCH(DB_Locations!C39,DB_Appareils!A:A,0))&amp;" ("&amp;DB_Locations!A39&amp;")","")</f>
        <v>MANI ABDESSALEM  - CONCENTRATEUR O2 (LOC0038)</v>
      </c>
      <c r="B39" t="str">
        <f>IF(DB_Locations!I39="Actif",DB_Locations!A39,"")</f>
        <v>LOC0038</v>
      </c>
    </row>
    <row r="40" spans="1:2" x14ac:dyDescent="0.25">
      <c r="A40" t="str">
        <f>IF(DB_Locations!I40="Actif",INDEX(DB_Patients!B:B,MATCH(DB_Locations!B40,DB_Patients!A:A,0))&amp;" - "&amp;INDEX(DB_Appareils!B:B,MATCH(DB_Locations!C40,DB_Appareils!A:A,0))&amp;" ("&amp;DB_Locations!A40&amp;")","")</f>
        <v>MANI ABDESSALEM  - VNI (LOC0039)</v>
      </c>
      <c r="B40" t="str">
        <f>IF(DB_Locations!I40="Actif",DB_Locations!A40,"")</f>
        <v>LOC0039</v>
      </c>
    </row>
    <row r="41" spans="1:2" x14ac:dyDescent="0.25">
      <c r="A41" t="str">
        <f>IF(DB_Locations!I41="Actif",INDEX(DB_Patients!B:B,MATCH(DB_Locations!B41,DB_Patients!A:A,0))&amp;" - "&amp;INDEX(DB_Appareils!B:B,MATCH(DB_Locations!C41,DB_Appareils!A:A,0))&amp;" ("&amp;DB_Locations!A41&amp;")","")</f>
        <v>SALHI ALI - CONCENTRATEUR O2 (LOC0040)</v>
      </c>
      <c r="B41" t="str">
        <f>IF(DB_Locations!I41="Actif",DB_Locations!A41,"")</f>
        <v>LOC0040</v>
      </c>
    </row>
    <row r="42" spans="1:2" x14ac:dyDescent="0.25">
      <c r="A42" t="str">
        <f>IF(DB_Locations!I42="Actif",INDEX(DB_Patients!B:B,MATCH(DB_Locations!B42,DB_Patients!A:A,0))&amp;" - "&amp;INDEX(DB_Appareils!B:B,MATCH(DB_Locations!C42,DB_Appareils!A:A,0))&amp;" ("&amp;DB_Locations!A42&amp;")","")</f>
        <v>SALHI ALI - VNI (LOC0041)</v>
      </c>
      <c r="B42" t="str">
        <f>IF(DB_Locations!I42="Actif",DB_Locations!A42,"")</f>
        <v>LOC0041</v>
      </c>
    </row>
    <row r="43" spans="1:2" x14ac:dyDescent="0.25">
      <c r="A43" t="str">
        <f>IF(DB_Locations!I43="Actif",INDEX(DB_Patients!B:B,MATCH(DB_Locations!B43,DB_Patients!A:A,0))&amp;" - "&amp;INDEX(DB_Appareils!B:B,MATCH(DB_Locations!C43,DB_Appareils!A:A,0))&amp;" ("&amp;DB_Locations!A43&amp;")","")</f>
        <v>HAMI ZOUHAIRA - CONCENTRATEUR O2 (LOC0042)</v>
      </c>
      <c r="B43" t="str">
        <f>IF(DB_Locations!I43="Actif",DB_Locations!A43,"")</f>
        <v>LOC0042</v>
      </c>
    </row>
    <row r="44" spans="1:2" x14ac:dyDescent="0.25">
      <c r="A44" t="str">
        <f>IF(DB_Locations!I44="Actif",INDEX(DB_Patients!B:B,MATCH(DB_Locations!B44,DB_Patients!A:A,0))&amp;" - "&amp;INDEX(DB_Appareils!B:B,MATCH(DB_Locations!C44,DB_Appareils!A:A,0))&amp;" ("&amp;DB_Locations!A44&amp;")","")</f>
        <v>HAMI ZOUHAIRA - VNI (LOC0043)</v>
      </c>
      <c r="B44" t="str">
        <f>IF(DB_Locations!I44="Actif",DB_Locations!A44,"")</f>
        <v>LOC0043</v>
      </c>
    </row>
    <row r="45" spans="1:2" x14ac:dyDescent="0.25">
      <c r="A45" t="str">
        <f>IF(DB_Locations!I45="Actif",INDEX(DB_Patients!B:B,MATCH(DB_Locations!B45,DB_Patients!A:A,0))&amp;" - "&amp;INDEX(DB_Appareils!B:B,MATCH(DB_Locations!C45,DB_Appareils!A:A,0))&amp;" ("&amp;DB_Locations!A45&amp;")","")</f>
        <v>MHADHBI GHZELLA - CONCENTRATEUR O2 (LOC0044)</v>
      </c>
      <c r="B45" t="str">
        <f>IF(DB_Locations!I45="Actif",DB_Locations!A45,"")</f>
        <v>LOC0044</v>
      </c>
    </row>
    <row r="46" spans="1:2" x14ac:dyDescent="0.25">
      <c r="A46" t="str">
        <f>IF(DB_Locations!I46="Actif",INDEX(DB_Patients!B:B,MATCH(DB_Locations!B46,DB_Patients!A:A,0))&amp;" - "&amp;INDEX(DB_Appareils!B:B,MATCH(DB_Locations!C46,DB_Appareils!A:A,0))&amp;" ("&amp;DB_Locations!A46&amp;")","")</f>
        <v>MHADHBI GHZELLA - VNI (LOC0045)</v>
      </c>
      <c r="B46" t="str">
        <f>IF(DB_Locations!I46="Actif",DB_Locations!A46,"")</f>
        <v>LOC0045</v>
      </c>
    </row>
    <row r="47" spans="1:2" x14ac:dyDescent="0.25">
      <c r="A47" t="str">
        <f>IF(DB_Locations!I47="Actif",INDEX(DB_Patients!B:B,MATCH(DB_Locations!B47,DB_Patients!A:A,0))&amp;" - "&amp;INDEX(DB_Appareils!B:B,MATCH(DB_Locations!C47,DB_Appareils!A:A,0))&amp;" ("&amp;DB_Locations!A47&amp;")","")</f>
        <v>ZAGHDENE MOUNIR - CONCENTRATEUR O2  10L (LOC0046)</v>
      </c>
      <c r="B47" t="str">
        <f>IF(DB_Locations!I47="Actif",DB_Locations!A47,"")</f>
        <v>LOC0046</v>
      </c>
    </row>
    <row r="48" spans="1:2" x14ac:dyDescent="0.25">
      <c r="A48" t="str">
        <f>IF(DB_Locations!I48="Actif",INDEX(DB_Patients!B:B,MATCH(DB_Locations!B48,DB_Patients!A:A,0))&amp;" - "&amp;INDEX(DB_Appareils!B:B,MATCH(DB_Locations!C48,DB_Appareils!A:A,0))&amp;" ("&amp;DB_Locations!A48&amp;")","")</f>
        <v>HICHERI AJMI - CONCENTRATEUR O2 (LOC0047)</v>
      </c>
      <c r="B48" t="str">
        <f>IF(DB_Locations!I48="Actif",DB_Locations!A48,"")</f>
        <v>LOC0047</v>
      </c>
    </row>
    <row r="49" spans="1:2" x14ac:dyDescent="0.25">
      <c r="A49" t="str">
        <f>IF(DB_Locations!I49="Actif",INDEX(DB_Patients!B:B,MATCH(DB_Locations!B49,DB_Patients!A:A,0))&amp;" - "&amp;INDEX(DB_Appareils!B:B,MATCH(DB_Locations!C49,DB_Appareils!A:A,0))&amp;" ("&amp;DB_Locations!A49&amp;")","")</f>
        <v>HICHERI AJMI - VNI (LOC0048)</v>
      </c>
      <c r="B49" t="str">
        <f>IF(DB_Locations!I49="Actif",DB_Locations!A49,"")</f>
        <v>LOC0048</v>
      </c>
    </row>
    <row r="50" spans="1:2" x14ac:dyDescent="0.25">
      <c r="A50" t="str">
        <f>IF(DB_Locations!I50="Actif",INDEX(DB_Patients!B:B,MATCH(DB_Locations!B50,DB_Patients!A:A,0))&amp;" - "&amp;INDEX(DB_Appareils!B:B,MATCH(DB_Locations!C50,DB_Appareils!A:A,0))&amp;" ("&amp;DB_Locations!A50&amp;")","")</f>
        <v>ZBIBA MAHMOUD BEN MHAMED - CONCENTRATEUR O2 (LOC0049)</v>
      </c>
      <c r="B50" t="str">
        <f>IF(DB_Locations!I50="Actif",DB_Locations!A50,"")</f>
        <v>LOC0049</v>
      </c>
    </row>
    <row r="51" spans="1:2" x14ac:dyDescent="0.25">
      <c r="A51" t="str">
        <f>IF(DB_Locations!I51="Actif",INDEX(DB_Patients!B:B,MATCH(DB_Locations!B51,DB_Patients!A:A,0))&amp;" - "&amp;INDEX(DB_Appareils!B:B,MATCH(DB_Locations!C51,DB_Appareils!A:A,0))&amp;" ("&amp;DB_Locations!A51&amp;")","")</f>
        <v>ZBIBA MAHMOUD BEN MHAMED - VNI + BOUTEUIL APP0190 (LOC0050)</v>
      </c>
      <c r="B51" t="str">
        <f>IF(DB_Locations!I51="Actif",DB_Locations!A51,"")</f>
        <v>LOC0050</v>
      </c>
    </row>
    <row r="52" spans="1:2" x14ac:dyDescent="0.25">
      <c r="A52" t="str">
        <f>IF(DB_Locations!I52="Actif",INDEX(DB_Patients!B:B,MATCH(DB_Locations!B52,DB_Patients!A:A,0))&amp;" - "&amp;INDEX(DB_Appareils!B:B,MATCH(DB_Locations!C52,DB_Appareils!A:A,0))&amp;" ("&amp;DB_Locations!A52&amp;")","")</f>
        <v>CHNITI AMOR - CONCENTRATEUR O2 (LOC0051)</v>
      </c>
      <c r="B52" t="str">
        <f>IF(DB_Locations!I52="Actif",DB_Locations!A52,"")</f>
        <v>LOC0051</v>
      </c>
    </row>
    <row r="53" spans="1:2" x14ac:dyDescent="0.25">
      <c r="A53" t="str">
        <f>IF(DB_Locations!I53="Actif",INDEX(DB_Patients!B:B,MATCH(DB_Locations!B53,DB_Patients!A:A,0))&amp;" - "&amp;INDEX(DB_Appareils!B:B,MATCH(DB_Locations!C53,DB_Appareils!A:A,0))&amp;" ("&amp;DB_Locations!A53&amp;")","")</f>
        <v>CHNITI AMOR - VNI (LOC0052)</v>
      </c>
      <c r="B53" t="str">
        <f>IF(DB_Locations!I53="Actif",DB_Locations!A53,"")</f>
        <v>LOC0052</v>
      </c>
    </row>
    <row r="54" spans="1:2" x14ac:dyDescent="0.25">
      <c r="A54" t="str">
        <f>IF(DB_Locations!I54="Actif",INDEX(DB_Patients!B:B,MATCH(DB_Locations!B54,DB_Patients!A:A,0))&amp;" - "&amp;INDEX(DB_Appareils!B:B,MATCH(DB_Locations!C54,DB_Appareils!A:A,0))&amp;" ("&amp;DB_Locations!A54&amp;")","")</f>
        <v>GHILOUFI MOHAMED AMMAR - CONCENTRATEUR O2 (LOC0053)</v>
      </c>
      <c r="B54" t="str">
        <f>IF(DB_Locations!I54="Actif",DB_Locations!A54,"")</f>
        <v>LOC0053</v>
      </c>
    </row>
    <row r="55" spans="1:2" x14ac:dyDescent="0.25">
      <c r="A55" t="str">
        <f>IF(DB_Locations!I55="Actif",INDEX(DB_Patients!B:B,MATCH(DB_Locations!B55,DB_Patients!A:A,0))&amp;" - "&amp;INDEX(DB_Appareils!B:B,MATCH(DB_Locations!C55,DB_Appareils!A:A,0))&amp;" ("&amp;DB_Locations!A55&amp;")","")</f>
        <v>GHILOUFI MOHAMED AMMAR - VNI (LOC0054)</v>
      </c>
      <c r="B55" t="str">
        <f>IF(DB_Locations!I55="Actif",DB_Locations!A55,"")</f>
        <v>LOC0054</v>
      </c>
    </row>
    <row r="56" spans="1:2" x14ac:dyDescent="0.25">
      <c r="A56" t="str">
        <f>IF(DB_Locations!I56="Actif",INDEX(DB_Patients!B:B,MATCH(DB_Locations!B56,DB_Patients!A:A,0))&amp;" - "&amp;INDEX(DB_Appareils!B:B,MATCH(DB_Locations!C56,DB_Appareils!A:A,0))&amp;" ("&amp;DB_Locations!A56&amp;")","")</f>
        <v>JEAN CLAUDE - CONCENTRATEUR O2 (LOC0055)</v>
      </c>
      <c r="B56" t="str">
        <f>IF(DB_Locations!I56="Actif",DB_Locations!A56,"")</f>
        <v>LOC0055</v>
      </c>
    </row>
    <row r="57" spans="1:2" x14ac:dyDescent="0.25">
      <c r="A57" t="str">
        <f>IF(DB_Locations!I57="Actif",INDEX(DB_Patients!B:B,MATCH(DB_Locations!B57,DB_Patients!A:A,0))&amp;" - "&amp;INDEX(DB_Appareils!B:B,MATCH(DB_Locations!C57,DB_Appareils!A:A,0))&amp;" ("&amp;DB_Locations!A57&amp;")","")</f>
        <v>JEAN CLAUDE - CONCENTRATEUR O2 (LOC0056)</v>
      </c>
      <c r="B57" t="str">
        <f>IF(DB_Locations!I57="Actif",DB_Locations!A57,"")</f>
        <v>LOC0056</v>
      </c>
    </row>
    <row r="58" spans="1:2" x14ac:dyDescent="0.25">
      <c r="A58" t="str">
        <f>IF(DB_Locations!I58="Actif",INDEX(DB_Patients!B:B,MATCH(DB_Locations!B58,DB_Patients!A:A,0))&amp;" - "&amp;INDEX(DB_Appareils!B:B,MATCH(DB_Locations!C58,DB_Appareils!A:A,0))&amp;" ("&amp;DB_Locations!A58&amp;")","")</f>
        <v xml:space="preserve"> JEGHAM ASMA - CONCENTRATEUR O2 (LOC0057)</v>
      </c>
      <c r="B58" t="str">
        <f>IF(DB_Locations!I58="Actif",DB_Locations!A58,"")</f>
        <v>LOC0057</v>
      </c>
    </row>
    <row r="59" spans="1:2" x14ac:dyDescent="0.25">
      <c r="A59" t="str">
        <f>IF(DB_Locations!I59="Actif",INDEX(DB_Patients!B:B,MATCH(DB_Locations!B59,DB_Patients!A:A,0))&amp;" - "&amp;INDEX(DB_Appareils!B:B,MATCH(DB_Locations!C59,DB_Appareils!A:A,0))&amp;" ("&amp;DB_Locations!A59&amp;")","")</f>
        <v>BAKLOUTI ABDALLAH - CONCENTRATEUR O2 (LOC0058)</v>
      </c>
      <c r="B59" t="str">
        <f>IF(DB_Locations!I59="Actif",DB_Locations!A59,"")</f>
        <v>LOC0058</v>
      </c>
    </row>
    <row r="60" spans="1:2" x14ac:dyDescent="0.25">
      <c r="A60" t="str">
        <f>IF(DB_Locations!I60="Actif",INDEX(DB_Patients!B:B,MATCH(DB_Locations!B60,DB_Patients!A:A,0))&amp;" - "&amp;INDEX(DB_Appareils!B:B,MATCH(DB_Locations!C60,DB_Appareils!A:A,0))&amp;" ("&amp;DB_Locations!A60&amp;")","")</f>
        <v>BAKLOUTI ABDALLAH - VNI (LOC0059)</v>
      </c>
      <c r="B60" t="str">
        <f>IF(DB_Locations!I60="Actif",DB_Locations!A60,"")</f>
        <v>LOC0059</v>
      </c>
    </row>
    <row r="61" spans="1:2" x14ac:dyDescent="0.25">
      <c r="A61" t="str">
        <f>IF(DB_Locations!I61="Actif",INDEX(DB_Patients!B:B,MATCH(DB_Locations!B61,DB_Patients!A:A,0))&amp;" - "&amp;INDEX(DB_Appareils!B:B,MATCH(DB_Locations!C61,DB_Appareils!A:A,0))&amp;" ("&amp;DB_Locations!A61&amp;")","")</f>
        <v>BEN AHMED HASSAN - CONCENTRATEUR O2 (LOC0060)</v>
      </c>
      <c r="B61" t="str">
        <f>IF(DB_Locations!I61="Actif",DB_Locations!A61,"")</f>
        <v>LOC0060</v>
      </c>
    </row>
    <row r="62" spans="1:2" x14ac:dyDescent="0.25">
      <c r="A62" t="str">
        <f>IF(DB_Locations!I62="Actif",INDEX(DB_Patients!B:B,MATCH(DB_Locations!B62,DB_Patients!A:A,0))&amp;" - "&amp;INDEX(DB_Appareils!B:B,MATCH(DB_Locations!C62,DB_Appareils!A:A,0))&amp;" ("&amp;DB_Locations!A62&amp;")","")</f>
        <v>AKKARI VVE FARHAT AICHA - CONCENTRATEUR O2 (LOC0061)</v>
      </c>
      <c r="B62" t="str">
        <f>IF(DB_Locations!I62="Actif",DB_Locations!A62,"")</f>
        <v>LOC0061</v>
      </c>
    </row>
    <row r="63" spans="1:2" x14ac:dyDescent="0.25">
      <c r="A63" t="str">
        <f>IF(DB_Locations!I63="Actif",INDEX(DB_Patients!B:B,MATCH(DB_Locations!B63,DB_Patients!A:A,0))&amp;" - "&amp;INDEX(DB_Appareils!B:B,MATCH(DB_Locations!C63,DB_Appareils!A:A,0))&amp;" ("&amp;DB_Locations!A63&amp;")","")</f>
        <v>AKKARI VVE FARHAT AICHA - VNI (LOC0062)</v>
      </c>
      <c r="B63" t="str">
        <f>IF(DB_Locations!I63="Actif",DB_Locations!A63,"")</f>
        <v>LOC0062</v>
      </c>
    </row>
    <row r="64" spans="1:2" x14ac:dyDescent="0.25">
      <c r="A64" t="str">
        <f>IF(DB_Locations!I64="Actif",INDEX(DB_Patients!B:B,MATCH(DB_Locations!B64,DB_Patients!A:A,0))&amp;" - "&amp;INDEX(DB_Appareils!B:B,MATCH(DB_Locations!C64,DB_Appareils!A:A,0))&amp;" ("&amp;DB_Locations!A64&amp;")","")</f>
        <v>AISSAOUI MOEZ - CONCENTRATEUR O2 (LOC0063)</v>
      </c>
      <c r="B64" t="str">
        <f>DB_Locations!A64</f>
        <v>LOC0063</v>
      </c>
    </row>
    <row r="65" spans="1:2" x14ac:dyDescent="0.25">
      <c r="A65" t="str">
        <f>INDEX(DB_Patients!B:B,MATCH(DB_Locations!B65,DB_Patients!A:A,0)) &amp; " - " &amp; INDEX(DB_Appareils!B:B,MATCH(DB_Locations!C65,DB_Appareils!A:A,0)) &amp; " (" &amp; DB_Locations!A65 &amp; ")"</f>
        <v>LAFI AMOR - CONCENTRATEUR O2  (LOC0064)</v>
      </c>
      <c r="B65" t="str">
        <f>DB_Locations!A65</f>
        <v>LOC0064</v>
      </c>
    </row>
    <row r="66" spans="1:2" x14ac:dyDescent="0.25">
      <c r="A66" t="str">
        <f>INDEX(DB_Patients!B:B,MATCH(DB_Locations!B66,DB_Patients!A:A,0)) &amp; " - " &amp; INDEX(DB_Appareils!B:B,MATCH(DB_Locations!C66,DB_Appareils!A:A,0)) &amp; " (" &amp; DB_Locations!A66 &amp; ")"</f>
        <v>LAFI AMOR - VNI (LOC0065)</v>
      </c>
      <c r="B66" t="str">
        <f>DB_Locations!A66</f>
        <v>LOC0065</v>
      </c>
    </row>
    <row r="67" spans="1:2" x14ac:dyDescent="0.25">
      <c r="A67" t="str">
        <f>INDEX(DB_Patients!B:B,MATCH(DB_Locations!B67,DB_Patients!A:A,0)) &amp; " - " &amp; INDEX(DB_Appareils!B:B,MATCH(DB_Locations!C67,DB_Appareils!A:A,0)) &amp; " (" &amp; DB_Locations!A67 &amp; ")"</f>
        <v>CHATBERI ALI - CONCENTRATEUR O2 (LOC0066)</v>
      </c>
      <c r="B67" t="str">
        <f>DB_Locations!A67</f>
        <v>LOC0066</v>
      </c>
    </row>
    <row r="68" spans="1:2" x14ac:dyDescent="0.25">
      <c r="A68" t="str">
        <f>INDEX(DB_Patients!B:B,MATCH(DB_Locations!B68,DB_Patients!A:A,0)) &amp; " - " &amp; INDEX(DB_Appareils!B:B,MATCH(DB_Locations!C68,DB_Appareils!A:A,0)) &amp; " (" &amp; DB_Locations!A68 &amp; ")"</f>
        <v>CHATBERI ALI - VNI (LOC0067)</v>
      </c>
      <c r="B68" t="str">
        <f>DB_Locations!A68</f>
        <v>LOC0067</v>
      </c>
    </row>
    <row r="69" spans="1:2" x14ac:dyDescent="0.25">
      <c r="A69" t="str">
        <f>INDEX(DB_Patients!B:B,MATCH(DB_Locations!B69,DB_Patients!A:A,0)) &amp; " - " &amp; INDEX(DB_Appareils!B:B,MATCH(DB_Locations!C69,DB_Appareils!A:A,0)) &amp; " (" &amp; DB_Locations!A69 &amp; ")"</f>
        <v>HABIB SMIDA - CONCENTRATEUR O2 (LOC0068)</v>
      </c>
      <c r="B69" t="str">
        <f>DB_Locations!A69</f>
        <v>LOC0068</v>
      </c>
    </row>
    <row r="70" spans="1:2" x14ac:dyDescent="0.25">
      <c r="A70" t="str">
        <f>INDEX(DB_Patients!B:B,MATCH(DB_Locations!B70,DB_Patients!A:A,0)) &amp; " - " &amp; INDEX(DB_Appareils!B:B,MATCH(DB_Locations!C70,DB_Appareils!A:A,0)) &amp; " (" &amp; DB_Locations!A70 &amp; ")"</f>
        <v>BRAHEM KAMEL - CONCENTRATEUR O2 (LOC0069)</v>
      </c>
      <c r="B70" t="str">
        <f>DB_Locations!A70</f>
        <v>LOC0069</v>
      </c>
    </row>
    <row r="71" spans="1:2" x14ac:dyDescent="0.25">
      <c r="A71" t="str">
        <f>INDEX(DB_Patients!B:B,MATCH(DB_Locations!B71,DB_Patients!A:A,0)) &amp; " - " &amp; INDEX(DB_Appareils!B:B,MATCH(DB_Locations!C71,DB_Appareils!A:A,0)) &amp; " (" &amp; DB_Locations!A71 &amp; ")"</f>
        <v>ABID MAHBOUBA - CONCENTRATEUR O2 (LOC0070)</v>
      </c>
      <c r="B71" t="str">
        <f>DB_Locations!A71</f>
        <v>LOC0070</v>
      </c>
    </row>
    <row r="72" spans="1:2" x14ac:dyDescent="0.25">
      <c r="A72" t="str">
        <f>INDEX(DB_Patients!B:B,MATCH(DB_Locations!B72,DB_Patients!A:A,0)) &amp; " - " &amp; INDEX(DB_Appareils!B:B,MATCH(DB_Locations!C72,DB_Appareils!A:A,0)) &amp; " (" &amp; DB_Locations!A72 &amp; ")"</f>
        <v>ABID MAHBOUBA - VNI (LOC0071)</v>
      </c>
      <c r="B72" t="str">
        <f>DB_Locations!A72</f>
        <v>LOC0071</v>
      </c>
    </row>
    <row r="73" spans="1:2" x14ac:dyDescent="0.25">
      <c r="A73" t="str">
        <f>INDEX(DB_Patients!B:B,MATCH(DB_Locations!B73,DB_Patients!A:A,0)) &amp; " - " &amp; INDEX(DB_Appareils!B:B,MATCH(DB_Locations!C73,DB_Appareils!A:A,0)) &amp; " (" &amp; DB_Locations!A73 &amp; ")"</f>
        <v>OTHMEN FITOURI - CONCENTRATEUR O2+BO2 APP0187 (LOC0072)</v>
      </c>
      <c r="B73" t="str">
        <f>DB_Locations!A73</f>
        <v>LOC0072</v>
      </c>
    </row>
    <row r="74" spans="1:2" x14ac:dyDescent="0.25">
      <c r="A74" t="str">
        <f>INDEX(DB_Patients!B:B,MATCH(DB_Locations!B74,DB_Patients!A:A,0)) &amp; " - " &amp; INDEX(DB_Appareils!B:B,MATCH(DB_Locations!C74,DB_Appareils!A:A,0)) &amp; " (" &amp; DB_Locations!A74 &amp; ")"</f>
        <v>BOUAZZA KAMEL - CONCENTRATEUR O2 (LOC0073)</v>
      </c>
      <c r="B74" t="str">
        <f>DB_Locations!A74</f>
        <v>LOC0073</v>
      </c>
    </row>
    <row r="75" spans="1:2" x14ac:dyDescent="0.25">
      <c r="A75" t="str">
        <f>INDEX(DB_Patients!B:B,MATCH(DB_Locations!B75,DB_Patients!A:A,0)) &amp; " - " &amp; INDEX(DB_Appareils!B:B,MATCH(DB_Locations!C75,DB_Appareils!A:A,0)) &amp; " (" &amp; DB_Locations!A75 &amp; ")"</f>
        <v>BOUAZZA KAMEL - VNI (LOC0074)</v>
      </c>
      <c r="B75" t="str">
        <f>DB_Locations!A75</f>
        <v>LOC0074</v>
      </c>
    </row>
    <row r="76" spans="1:2" x14ac:dyDescent="0.25">
      <c r="A76" t="str">
        <f>INDEX(DB_Patients!B:B,MATCH(DB_Locations!B76,DB_Patients!A:A,0)) &amp; " - " &amp; INDEX(DB_Appareils!B:B,MATCH(DB_Locations!C76,DB_Appareils!A:A,0)) &amp; " (" &amp; DB_Locations!A76 &amp; ")"</f>
        <v>BRAHIM REGAYA - CONCENTRATEUR O2 (LOC0075)</v>
      </c>
      <c r="B76" t="str">
        <f>DB_Locations!A76</f>
        <v>LOC0075</v>
      </c>
    </row>
    <row r="77" spans="1:2" x14ac:dyDescent="0.25">
      <c r="A77" t="str">
        <f>INDEX(DB_Patients!B:B,MATCH(DB_Locations!B77,DB_Patients!A:A,0)) &amp; " - " &amp; INDEX(DB_Appareils!B:B,MATCH(DB_Locations!C77,DB_Appareils!A:A,0)) &amp; " (" &amp; DB_Locations!A77 &amp; ")"</f>
        <v>BRAHIM REGAYA - VNI (LOC0076)</v>
      </c>
      <c r="B77" t="str">
        <f>DB_Locations!A77</f>
        <v>LOC0076</v>
      </c>
    </row>
    <row r="78" spans="1:2" x14ac:dyDescent="0.25">
      <c r="A78" t="str">
        <f>INDEX(DB_Patients!B:B,MATCH(DB_Locations!B78,DB_Patients!A:A,0)) &amp; " - " &amp; INDEX(DB_Appareils!B:B,MATCH(DB_Locations!C78,DB_Appareils!A:A,0)) &amp; " (" &amp; DB_Locations!A78 &amp; ")"</f>
        <v>ZAYANI WASSILA - CONCENTRATEUR O2 (LOC0077)</v>
      </c>
      <c r="B78" t="str">
        <f>DB_Locations!A78</f>
        <v>LOC0077</v>
      </c>
    </row>
    <row r="79" spans="1:2" x14ac:dyDescent="0.25">
      <c r="A79" t="str">
        <f>INDEX(DB_Patients!B:B,MATCH(DB_Locations!B79,DB_Patients!A:A,0)) &amp; " - " &amp; INDEX(DB_Appareils!B:B,MATCH(DB_Locations!C79,DB_Appareils!A:A,0)) &amp; " (" &amp; DB_Locations!A79 &amp; ")"</f>
        <v>ZAYANI WASSILA - VNI (LOC0078)</v>
      </c>
      <c r="B79" t="str">
        <f>DB_Locations!A79</f>
        <v>LOC0078</v>
      </c>
    </row>
    <row r="80" spans="1:2" x14ac:dyDescent="0.25">
      <c r="A80" t="str">
        <f>INDEX(DB_Patients!B:B,MATCH(DB_Locations!B80,DB_Patients!A:A,0)) &amp; " - " &amp; INDEX(DB_Appareils!B:B,MATCH(DB_Locations!C80,DB_Appareils!A:A,0)) &amp; " (" &amp; DB_Locations!A80 &amp; ")"</f>
        <v>KAABI AHMED - CONCENTRATEUR O2 (LOC0079)</v>
      </c>
      <c r="B80" t="str">
        <f>DB_Locations!A80</f>
        <v>LOC0079</v>
      </c>
    </row>
    <row r="81" spans="1:2" x14ac:dyDescent="0.25">
      <c r="A81" t="str">
        <f>INDEX(DB_Patients!B:B,MATCH(DB_Locations!B81,DB_Patients!A:A,0)) &amp; " - " &amp; INDEX(DB_Appareils!B:B,MATCH(DB_Locations!C81,DB_Appareils!A:A,0)) &amp; " (" &amp; DB_Locations!A81 &amp; ")"</f>
        <v>KAABI AHMED - VNI (LOC0080)</v>
      </c>
      <c r="B81" t="str">
        <f>DB_Locations!A81</f>
        <v>LOC0080</v>
      </c>
    </row>
    <row r="82" spans="1:2" x14ac:dyDescent="0.25">
      <c r="A82" t="str">
        <f>INDEX(DB_Patients!B:B,MATCH(DB_Locations!B82,DB_Patients!A:A,0)) &amp; " - " &amp; INDEX(DB_Appareils!B:B,MATCH(DB_Locations!C82,DB_Appareils!A:A,0)) &amp; " (" &amp; DB_Locations!A82 &amp; ")"</f>
        <v>B SAAD AMMAR - CONCENTRATEUR O2 (LOC0081)</v>
      </c>
      <c r="B82" t="str">
        <f>DB_Locations!A82</f>
        <v>LOC0081</v>
      </c>
    </row>
    <row r="83" spans="1:2" x14ac:dyDescent="0.25">
      <c r="A83" t="str">
        <f>INDEX(DB_Patients!B:B,MATCH(DB_Locations!B83,DB_Patients!A:A,0)) &amp; " - " &amp; INDEX(DB_Appareils!B:B,MATCH(DB_Locations!C83,DB_Appareils!A:A,0)) &amp; " (" &amp; DB_Locations!A83 &amp; ")"</f>
        <v>BEN ALI NAIMA - CONCENTRATEUR O2 (LOC0082)</v>
      </c>
      <c r="B83" t="str">
        <f>DB_Locations!A83</f>
        <v>LOC0082</v>
      </c>
    </row>
    <row r="84" spans="1:2" x14ac:dyDescent="0.25">
      <c r="A84" t="str">
        <f>INDEX(DB_Patients!B:B,MATCH(DB_Locations!B84,DB_Patients!A:A,0)) &amp; " - " &amp; INDEX(DB_Appareils!B:B,MATCH(DB_Locations!C84,DB_Appareils!A:A,0)) &amp; " (" &amp; DB_Locations!A84 &amp; ")"</f>
        <v>BEN ALI NAIMA - VNI (LOC0083)</v>
      </c>
      <c r="B84" t="str">
        <f>DB_Locations!A84</f>
        <v>LOC0083</v>
      </c>
    </row>
    <row r="85" spans="1:2" x14ac:dyDescent="0.25">
      <c r="A85" t="str">
        <f>INDEX(DB_Patients!B:B,MATCH(DB_Locations!B85,DB_Patients!A:A,0)) &amp; " - " &amp; INDEX(DB_Appareils!B:B,MATCH(DB_Locations!C85,DB_Appareils!A:A,0)) &amp; " (" &amp; DB_Locations!A85 &amp; ")"</f>
        <v>KITAR AICHA - CONCENTRATEUR O2 (LOC0084)</v>
      </c>
      <c r="B85" t="str">
        <f>DB_Locations!A85</f>
        <v>LOC0084</v>
      </c>
    </row>
    <row r="86" spans="1:2" x14ac:dyDescent="0.25">
      <c r="A86" t="str">
        <f>INDEX(DB_Patients!B:B,MATCH(DB_Locations!B86,DB_Patients!A:A,0)) &amp; " - " &amp; INDEX(DB_Appareils!B:B,MATCH(DB_Locations!C86,DB_Appareils!A:A,0)) &amp; " (" &amp; DB_Locations!A86 &amp; ")"</f>
        <v>KITAR AICHA - VNI (LOC0085)</v>
      </c>
      <c r="B86" t="str">
        <f>DB_Locations!A86</f>
        <v>LOC0085</v>
      </c>
    </row>
    <row r="87" spans="1:2" x14ac:dyDescent="0.25">
      <c r="A87" t="str">
        <f>INDEX(DB_Patients!B:B,MATCH(DB_Locations!B87,DB_Patients!A:A,0)) &amp; " - " &amp; INDEX(DB_Appareils!B:B,MATCH(DB_Locations!C87,DB_Appareils!A:A,0)) &amp; " (" &amp; DB_Locations!A87 &amp; ")"</f>
        <v>BELLOTF NAJOUA - CONCENTRATEUR O2 (LOC0086)</v>
      </c>
      <c r="B87" t="str">
        <f>DB_Locations!A87</f>
        <v>LOC0086</v>
      </c>
    </row>
    <row r="88" spans="1:2" x14ac:dyDescent="0.25">
      <c r="A88" t="str">
        <f>INDEX(DB_Patients!B:B,MATCH(DB_Locations!B88,DB_Patients!A:A,0)) &amp; " - " &amp; INDEX(DB_Appareils!B:B,MATCH(DB_Locations!C88,DB_Appareils!A:A,0)) &amp; " (" &amp; DB_Locations!A88 &amp; ")"</f>
        <v>BELLOTF NAJOUA - VNI (LOC0087)</v>
      </c>
      <c r="B88" t="str">
        <f>DB_Locations!A88</f>
        <v>LOC0087</v>
      </c>
    </row>
    <row r="89" spans="1:2" x14ac:dyDescent="0.25">
      <c r="A89" t="str">
        <f>INDEX(DB_Patients!B:B,MATCH(DB_Locations!B89,DB_Patients!A:A,0)) &amp; " - " &amp; INDEX(DB_Appareils!B:B,MATCH(DB_Locations!C89,DB_Appareils!A:A,0)) &amp; " (" &amp; DB_Locations!A89 &amp; ")"</f>
        <v>BELLOTF NAJOUA - BOUTEIL O2 (LOC0088)</v>
      </c>
      <c r="B89" t="str">
        <f>DB_Locations!A89</f>
        <v>LOC0088</v>
      </c>
    </row>
    <row r="90" spans="1:2" x14ac:dyDescent="0.25">
      <c r="A90" t="str">
        <f>INDEX(DB_Patients!B:B,MATCH(DB_Locations!B90,DB_Patients!A:A,0)) &amp; " - " &amp; INDEX(DB_Appareils!B:B,MATCH(DB_Locations!C90,DB_Appareils!A:A,0)) &amp; " (" &amp; DB_Locations!A90 &amp; ")"</f>
        <v>BORJI NAJIB - CONCENTRATEUR O2 (LOC0089)</v>
      </c>
      <c r="B90" t="str">
        <f>DB_Locations!A90</f>
        <v>LOC0089</v>
      </c>
    </row>
    <row r="91" spans="1:2" x14ac:dyDescent="0.25">
      <c r="A91" t="str">
        <f>INDEX(DB_Patients!B:B,MATCH(DB_Locations!B91,DB_Patients!A:A,0)) &amp; " - " &amp; INDEX(DB_Appareils!B:B,MATCH(DB_Locations!C91,DB_Appareils!A:A,0)) &amp; " (" &amp; DB_Locations!A91 &amp; ")"</f>
        <v>BEN AFIA FREDJ - CONCENTRATEUR O2  (LOC0090)</v>
      </c>
      <c r="B91" t="str">
        <f>DB_Locations!A91</f>
        <v>LOC0090</v>
      </c>
    </row>
    <row r="92" spans="1:2" x14ac:dyDescent="0.25">
      <c r="A92" t="str">
        <f>INDEX(DB_Patients!B:B,MATCH(DB_Locations!B92,DB_Patients!A:A,0)) &amp; " - " &amp; INDEX(DB_Appareils!B:B,MATCH(DB_Locations!C92,DB_Appareils!A:A,0)) &amp; " (" &amp; DB_Locations!A92 &amp; ")"</f>
        <v>ADHIMI SALHA - CONCENTRATEUR O2 (LOC0091)</v>
      </c>
      <c r="B92" t="str">
        <f>DB_Locations!A92</f>
        <v>LOC0091</v>
      </c>
    </row>
    <row r="93" spans="1:2" x14ac:dyDescent="0.25">
      <c r="A93" t="str">
        <f>INDEX(DB_Patients!B:B,MATCH(DB_Locations!B93,DB_Patients!A:A,0)) &amp; " - " &amp; INDEX(DB_Appareils!B:B,MATCH(DB_Locations!C93,DB_Appareils!A:A,0)) &amp; " (" &amp; DB_Locations!A93 &amp; ")"</f>
        <v>ADHIMI SALHA - VNI (LOC0092)</v>
      </c>
      <c r="B93" t="str">
        <f>DB_Locations!A93</f>
        <v>LOC0092</v>
      </c>
    </row>
    <row r="94" spans="1:2" x14ac:dyDescent="0.25">
      <c r="A94" t="str">
        <f>INDEX(DB_Patients!B:B,MATCH(DB_Locations!B94,DB_Patients!A:A,0)) &amp; " - " &amp; INDEX(DB_Appareils!B:B,MATCH(DB_Locations!C94,DB_Appareils!A:A,0)) &amp; " (" &amp; DB_Locations!A94 &amp; ")"</f>
        <v>OUESSLETI MONIA - CONCENTRATEUR O2 (LOC0093)</v>
      </c>
      <c r="B94" t="str">
        <f>DB_Locations!A94</f>
        <v>LOC0093</v>
      </c>
    </row>
    <row r="95" spans="1:2" x14ac:dyDescent="0.25">
      <c r="A95" t="str">
        <f>INDEX(DB_Patients!B:B,MATCH(DB_Locations!B95,DB_Patients!A:A,0)) &amp; " - " &amp; INDEX(DB_Appareils!B:B,MATCH(DB_Locations!C95,DB_Appareils!A:A,0)) &amp; " (" &amp; DB_Locations!A95 &amp; ")"</f>
        <v>MARNAOUI HABIB - CONCENTRATEUR O2 (LOC0094)</v>
      </c>
      <c r="B95" t="str">
        <f>DB_Locations!A95</f>
        <v>LOC0094</v>
      </c>
    </row>
    <row r="96" spans="1:2" x14ac:dyDescent="0.25">
      <c r="A96" t="str">
        <f>INDEX(DB_Patients!B:B,MATCH(DB_Locations!B96,DB_Patients!A:A,0)) &amp; " - " &amp; INDEX(DB_Appareils!B:B,MATCH(DB_Locations!C96,DB_Appareils!A:A,0)) &amp; " (" &amp; DB_Locations!A96 &amp; ")"</f>
        <v>MARNAOUI HABIB - VNI (LOC0095)</v>
      </c>
      <c r="B96" t="str">
        <f>DB_Locations!A96</f>
        <v>LOC0095</v>
      </c>
    </row>
    <row r="97" spans="1:2" x14ac:dyDescent="0.25">
      <c r="A97" t="str">
        <f>INDEX(DB_Patients!B:B,MATCH(DB_Locations!B97,DB_Patients!A:A,0)) &amp; " - " &amp; INDEX(DB_Appareils!B:B,MATCH(DB_Locations!C97,DB_Appareils!A:A,0)) &amp; " (" &amp; DB_Locations!A97 &amp; ")"</f>
        <v>JAZIRI VVE LOUSSAIEF  HABIBA - CONCENTRATEUR O2 (LOC0096)</v>
      </c>
      <c r="B97" t="str">
        <f>DB_Locations!A97</f>
        <v>LOC0096</v>
      </c>
    </row>
    <row r="98" spans="1:2" x14ac:dyDescent="0.25">
      <c r="A98" t="str">
        <f>INDEX(DB_Patients!B:B,MATCH(DB_Locations!B98,DB_Patients!A:A,0)) &amp; " - " &amp; INDEX(DB_Appareils!B:B,MATCH(DB_Locations!C98,DB_Appareils!A:A,0)) &amp; " (" &amp; DB_Locations!A98 &amp; ")"</f>
        <v>JAZIRI VVE LOUSSAIEF  HABIBA - VNI (LOC0097)</v>
      </c>
      <c r="B98" t="str">
        <f>DB_Locations!A98</f>
        <v>LOC0097</v>
      </c>
    </row>
    <row r="99" spans="1:2" x14ac:dyDescent="0.25">
      <c r="A99" t="str">
        <f>INDEX(DB_Patients!B:B,MATCH(DB_Locations!B99,DB_Patients!A:A,0)) &amp; " - " &amp; INDEX(DB_Appareils!B:B,MATCH(DB_Locations!C99,DB_Appareils!A:A,0)) &amp; " (" &amp; DB_Locations!A99 &amp; ")"</f>
        <v>TOUMI FRADJ  - CONCENTRATEUR O2 (LOC0098)</v>
      </c>
      <c r="B99" t="str">
        <f>DB_Locations!A99</f>
        <v>LOC0098</v>
      </c>
    </row>
    <row r="100" spans="1:2" x14ac:dyDescent="0.25">
      <c r="A100" t="str">
        <f>INDEX(DB_Patients!B:B,MATCH(DB_Locations!B100,DB_Patients!A:A,0)) &amp; " - " &amp; INDEX(DB_Appareils!B:B,MATCH(DB_Locations!C100,DB_Appareils!A:A,0)) &amp; " (" &amp; DB_Locations!A100 &amp; ")"</f>
        <v>BEN HAMIDA MOSBAH - CONCENTRATEUR O2 (LOC0099)</v>
      </c>
      <c r="B100" t="str">
        <f>DB_Locations!A100</f>
        <v>LOC0099</v>
      </c>
    </row>
    <row r="101" spans="1:2" x14ac:dyDescent="0.25">
      <c r="A101" t="str">
        <f>INDEX(DB_Patients!B:B,MATCH(DB_Locations!B101,DB_Patients!A:A,0)) &amp; " - " &amp; INDEX(DB_Appareils!B:B,MATCH(DB_Locations!C101,DB_Appareils!A:A,0)) &amp; " (" &amp; DB_Locations!A101 &amp; ")"</f>
        <v>BEN HAMIDA MOSBAH - VNI (LOC0100)</v>
      </c>
      <c r="B101" t="str">
        <f>DB_Locations!A101</f>
        <v>LOC0100</v>
      </c>
    </row>
    <row r="102" spans="1:2" x14ac:dyDescent="0.25">
      <c r="A102" t="str">
        <f>INDEX(DB_Patients!B:B,MATCH(DB_Locations!B102,DB_Patients!A:A,0)) &amp; " - " &amp; INDEX(DB_Appareils!B:B,MATCH(DB_Locations!C102,DB_Appareils!A:A,0)) &amp; " (" &amp; DB_Locations!A102 &amp; ")"</f>
        <v>BEL HADJ SAID LEILA - CONCENTRATEUR O2 (LOC0101)</v>
      </c>
      <c r="B102" t="str">
        <f>DB_Locations!A102</f>
        <v>LOC0101</v>
      </c>
    </row>
    <row r="103" spans="1:2" x14ac:dyDescent="0.25">
      <c r="A103" t="str">
        <f>INDEX(DB_Patients!B:B,MATCH(DB_Locations!B103,DB_Patients!A:A,0)) &amp; " - " &amp; INDEX(DB_Appareils!B:B,MATCH(DB_Locations!C103,DB_Appareils!A:A,0)) &amp; " (" &amp; DB_Locations!A103 &amp; ")"</f>
        <v>ZRELLI FATOUM - VNI (LOC0102)</v>
      </c>
      <c r="B103" t="str">
        <f>DB_Locations!A103</f>
        <v>LOC0102</v>
      </c>
    </row>
    <row r="104" spans="1:2" x14ac:dyDescent="0.25">
      <c r="A104" t="str">
        <f>INDEX(DB_Patients!B:B,MATCH(DB_Locations!B104,DB_Patients!A:A,0)) &amp; " - " &amp; INDEX(DB_Appareils!B:B,MATCH(DB_Locations!C104,DB_Appareils!A:A,0)) &amp; " (" &amp; DB_Locations!A104 &amp; ")"</f>
        <v>NAILI SELEM - VNI (LOC0103)</v>
      </c>
      <c r="B104" t="str">
        <f>DB_Locations!A104</f>
        <v>LOC0103</v>
      </c>
    </row>
    <row r="105" spans="1:2" x14ac:dyDescent="0.25">
      <c r="A105" t="str">
        <f>INDEX(DB_Patients!B:B,MATCH(DB_Locations!B105,DB_Patients!A:A,0)) &amp; " - " &amp; INDEX(DB_Appareils!B:B,MATCH(DB_Locations!C105,DB_Appareils!A:A,0)) &amp; " (" &amp; DB_Locations!A105 &amp; ")"</f>
        <v>ABDELOUAHED ABDERRAZEK - VNI (LOC0104)</v>
      </c>
      <c r="B105" t="str">
        <f>DB_Locations!A105</f>
        <v>LOC0104</v>
      </c>
    </row>
    <row r="106" spans="1:2" x14ac:dyDescent="0.25">
      <c r="A106" t="str">
        <f>INDEX(DB_Patients!B:B,MATCH(DB_Locations!B106,DB_Patients!A:A,0)) &amp; " - " &amp; INDEX(DB_Appareils!B:B,MATCH(DB_Locations!C106,DB_Appareils!A:A,0)) &amp; " (" &amp; DB_Locations!A106 &amp; ")"</f>
        <v>MONJI JERFEL - VNI (LOC0105)</v>
      </c>
      <c r="B106" t="str">
        <f>DB_Locations!A106</f>
        <v>LOC0105</v>
      </c>
    </row>
    <row r="107" spans="1:2" x14ac:dyDescent="0.25">
      <c r="A107" t="str">
        <f>INDEX(DB_Patients!B:B,MATCH(DB_Locations!B107,DB_Patients!A:A,0)) &amp; " - " &amp; INDEX(DB_Appareils!B:B,MATCH(DB_Locations!C107,DB_Appareils!A:A,0)) &amp; " (" &amp; DB_Locations!A107 &amp; ")"</f>
        <v>KHELIFA RIDHA - VNI (LOC0106)</v>
      </c>
      <c r="B107" t="str">
        <f>DB_Locations!A107</f>
        <v>LOC0106</v>
      </c>
    </row>
    <row r="108" spans="1:2" x14ac:dyDescent="0.25">
      <c r="A108" t="str">
        <f>INDEX(DB_Patients!B:B,MATCH(DB_Locations!B108,DB_Patients!A:A,0)) &amp; " - " &amp; INDEX(DB_Appareils!B:B,MATCH(DB_Locations!C108,DB_Appareils!A:A,0)) &amp; " (" &amp; DB_Locations!A108 &amp; ")"</f>
        <v>B MABROUK LAZHAR - VNI (LOC0107)</v>
      </c>
      <c r="B108" t="str">
        <f>DB_Locations!A108</f>
        <v>LOC0107</v>
      </c>
    </row>
    <row r="109" spans="1:2" x14ac:dyDescent="0.25">
      <c r="A109" t="str">
        <f>INDEX(DB_Patients!B:B,MATCH(DB_Locations!B109,DB_Patients!A:A,0)) &amp; " - " &amp; INDEX(DB_Appareils!B:B,MATCH(DB_Locations!C109,DB_Appareils!A:A,0)) &amp; " (" &amp; DB_Locations!A109 &amp; ")"</f>
        <v>BOUBAKER FAOUZI - VNI (LOC0108)</v>
      </c>
      <c r="B109" t="str">
        <f>DB_Locations!A109</f>
        <v>LOC0108</v>
      </c>
    </row>
    <row r="110" spans="1:2" x14ac:dyDescent="0.25">
      <c r="A110" t="str">
        <f>INDEX(DB_Patients!B:B,MATCH(DB_Locations!B110,DB_Patients!A:A,0)) &amp; " - " &amp; INDEX(DB_Appareils!B:B,MATCH(DB_Locations!C110,DB_Appareils!A:A,0)) &amp; " (" &amp; DB_Locations!A110 &amp; ")"</f>
        <v>TAHER OTHMANI - VNI (LOC0109)</v>
      </c>
      <c r="B110" t="str">
        <f>DB_Locations!A110</f>
        <v>LOC0109</v>
      </c>
    </row>
    <row r="111" spans="1:2" x14ac:dyDescent="0.25">
      <c r="A111" t="str">
        <f>INDEX(DB_Patients!B:B,MATCH(DB_Locations!B111,DB_Patients!A:A,0)) &amp; " - " &amp; INDEX(DB_Appareils!B:B,MATCH(DB_Locations!C111,DB_Appareils!A:A,0)) &amp; " (" &amp; DB_Locations!A111 &amp; ")"</f>
        <v>SLAH KHELIFA - VNI (LOC0110)</v>
      </c>
      <c r="B111" t="str">
        <f>DB_Locations!A111</f>
        <v>LOC0110</v>
      </c>
    </row>
    <row r="112" spans="1:2" x14ac:dyDescent="0.25">
      <c r="A112" t="str">
        <f>INDEX(DB_Patients!B:B,MATCH(DB_Locations!B112,DB_Patients!A:A,0)) &amp; " - " &amp; INDEX(DB_Appareils!B:B,MATCH(DB_Locations!C112,DB_Appareils!A:A,0)) &amp; " (" &amp; DB_Locations!A112 &amp; ")"</f>
        <v>ZEGNANI KHALED - VNI (LOC0111)</v>
      </c>
      <c r="B112" t="str">
        <f>DB_Locations!A112</f>
        <v>LOC0111</v>
      </c>
    </row>
    <row r="113" spans="1:2" x14ac:dyDescent="0.25">
      <c r="A113" t="str">
        <f>INDEX(DB_Patients!B:B,MATCH(DB_Locations!B113,DB_Patients!A:A,0)) &amp; " - " &amp; INDEX(DB_Appareils!B:B,MATCH(DB_Locations!C113,DB_Appareils!A:A,0)) &amp; " (" &amp; DB_Locations!A113 &amp; ")"</f>
        <v>HERTELLI MALEK  - VNI (LOC0112)</v>
      </c>
      <c r="B113" t="str">
        <f>DB_Locations!A113</f>
        <v>LOC0112</v>
      </c>
    </row>
    <row r="114" spans="1:2" x14ac:dyDescent="0.25">
      <c r="A114" t="str">
        <f>INDEX(DB_Patients!B:B,MATCH(DB_Locations!B114,DB_Patients!A:A,0)) &amp; " - " &amp; INDEX(DB_Appareils!B:B,MATCH(DB_Locations!C114,DB_Appareils!A:A,0)) &amp; " (" &amp; DB_Locations!A114 &amp; ")"</f>
        <v>HASSIN KADIDA - VNI (LOC0113)</v>
      </c>
      <c r="B114" t="str">
        <f>DB_Locations!A114</f>
        <v>LOC0113</v>
      </c>
    </row>
    <row r="115" spans="1:2" x14ac:dyDescent="0.25">
      <c r="A115" t="str">
        <f>INDEX(DB_Patients!B:B,MATCH(DB_Locations!B115,DB_Patients!A:A,0)) &amp; " - " &amp; INDEX(DB_Appareils!B:B,MATCH(DB_Locations!C115,DB_Appareils!A:A,0)) &amp; " (" &amp; DB_Locations!A115 &amp; ")"</f>
        <v>MNED FATMA - VNI (LOC0114)</v>
      </c>
      <c r="B115" t="str">
        <f>DB_Locations!A115</f>
        <v>LOC0114</v>
      </c>
    </row>
    <row r="116" spans="1:2" x14ac:dyDescent="0.25">
      <c r="A116" t="str">
        <f>INDEX(DB_Patients!B:B,MATCH(DB_Locations!B116,DB_Patients!A:A,0)) &amp; " - " &amp; INDEX(DB_Appareils!B:B,MATCH(DB_Locations!C116,DB_Appareils!A:A,0)) &amp; " (" &amp; DB_Locations!A116 &amp; ")"</f>
        <v>BANNOUR SALAH  - VNI (LOC0115)</v>
      </c>
      <c r="B116" t="str">
        <f>DB_Locations!A116</f>
        <v>LOC0115</v>
      </c>
    </row>
    <row r="117" spans="1:2" x14ac:dyDescent="0.25">
      <c r="A117" t="str">
        <f>INDEX(DB_Patients!B:B,MATCH(DB_Locations!B117,DB_Patients!A:A,0)) &amp; " - " &amp; INDEX(DB_Appareils!B:B,MATCH(DB_Locations!C117,DB_Appareils!A:A,0)) &amp; " (" &amp; DB_Locations!A117 &amp; ")"</f>
        <v>BEN YOUNES SAMIRA - VNI (LOC0116)</v>
      </c>
      <c r="B117" t="str">
        <f>DB_Locations!A117</f>
        <v>LOC0116</v>
      </c>
    </row>
    <row r="118" spans="1:2" x14ac:dyDescent="0.25">
      <c r="A118" t="str">
        <f>INDEX(DB_Patients!B:B,MATCH(DB_Locations!B118,DB_Patients!A:A,0)) &amp; " - " &amp; INDEX(DB_Appareils!B:B,MATCH(DB_Locations!C118,DB_Appareils!A:A,0)) &amp; " (" &amp; DB_Locations!A118 &amp; ")"</f>
        <v>SAID ZAINEB VVE AMOR - VNI (LOC0117)</v>
      </c>
      <c r="B118" t="str">
        <f>DB_Locations!A118</f>
        <v>LOC0117</v>
      </c>
    </row>
    <row r="119" spans="1:2" x14ac:dyDescent="0.25">
      <c r="A119" t="str">
        <f>INDEX(DB_Patients!B:B,MATCH(DB_Locations!B119,DB_Patients!A:A,0)) &amp; " - " &amp; INDEX(DB_Appareils!B:B,MATCH(DB_Locations!C119,DB_Appareils!A:A,0)) &amp; " (" &amp; DB_Locations!A119 &amp; ")"</f>
        <v>OUESLATI ABDELATIF - VNI (LOC0118)</v>
      </c>
      <c r="B119" t="str">
        <f>DB_Locations!A119</f>
        <v>LOC0118</v>
      </c>
    </row>
    <row r="120" spans="1:2" x14ac:dyDescent="0.25">
      <c r="A120" t="str">
        <f>INDEX(DB_Patients!B:B,MATCH(DB_Locations!B120,DB_Patients!A:A,0)) &amp; " - " &amp; INDEX(DB_Appareils!B:B,MATCH(DB_Locations!C120,DB_Appareils!A:A,0)) &amp; " (" &amp; DB_Locations!A120 &amp; ")"</f>
        <v>HABIB BRAHIM - VNI (LOC0119)</v>
      </c>
      <c r="B120" t="str">
        <f>DB_Locations!A120</f>
        <v>LOC0119</v>
      </c>
    </row>
    <row r="121" spans="1:2" x14ac:dyDescent="0.25">
      <c r="A121" t="str">
        <f>INDEX(DB_Patients!B:B,MATCH(DB_Locations!B121,DB_Patients!A:A,0)) &amp; " - " &amp; INDEX(DB_Appareils!B:B,MATCH(DB_Locations!C121,DB_Appareils!A:A,0)) &amp; " (" &amp; DB_Locations!A121 &amp; ")"</f>
        <v>CHAHED JALEL  - VNI (LOC0120)</v>
      </c>
      <c r="B121" t="str">
        <f>DB_Locations!A121</f>
        <v>LOC0120</v>
      </c>
    </row>
    <row r="122" spans="1:2" x14ac:dyDescent="0.25">
      <c r="A122" t="str">
        <f>INDEX(DB_Patients!B:B,MATCH(DB_Locations!B122,DB_Patients!A:A,0)) &amp; " - " &amp; INDEX(DB_Appareils!B:B,MATCH(DB_Locations!C122,DB_Appareils!A:A,0)) &amp; " (" &amp; DB_Locations!A122 &amp; ")"</f>
        <v>FATNASI NAYEB - VNI  (LOC0121)</v>
      </c>
      <c r="B122" t="str">
        <f>DB_Locations!A122</f>
        <v>LOC0121</v>
      </c>
    </row>
    <row r="123" spans="1:2" x14ac:dyDescent="0.25">
      <c r="A123" t="str">
        <f>INDEX(DB_Patients!B:B,MATCH(DB_Locations!B123,DB_Patients!A:A,0)) &amp; " - " &amp; INDEX(DB_Appareils!B:B,MATCH(DB_Locations!C123,DB_Appareils!A:A,0)) &amp; " (" &amp; DB_Locations!A123 &amp; ")"</f>
        <v>KSSOUMA NOUREDDINE - VNI (LOC0122)</v>
      </c>
      <c r="B123" t="str">
        <f>DB_Locations!A123</f>
        <v>LOC0122</v>
      </c>
    </row>
    <row r="124" spans="1:2" x14ac:dyDescent="0.25">
      <c r="A124" t="str">
        <f>INDEX(DB_Patients!B:B,MATCH(DB_Locations!B124,DB_Patients!A:A,0)) &amp; " - " &amp; INDEX(DB_Appareils!B:B,MATCH(DB_Locations!C124,DB_Appareils!A:A,0)) &amp; " (" &amp; DB_Locations!A124 &amp; ")"</f>
        <v>BEN HAJ ALI JAMIL  - VNI (LOC0123)</v>
      </c>
      <c r="B124" t="str">
        <f>DB_Locations!A124</f>
        <v>LOC0123</v>
      </c>
    </row>
    <row r="125" spans="1:2" x14ac:dyDescent="0.25">
      <c r="A125" t="str">
        <f>INDEX(DB_Patients!B:B,MATCH(DB_Locations!B125,DB_Patients!A:A,0)) &amp; " - " &amp; INDEX(DB_Appareils!B:B,MATCH(DB_Locations!C125,DB_Appareils!A:A,0)) &amp; " (" &amp; DB_Locations!A125 &amp; ")"</f>
        <v>ABDALLAH FEKIH HABIB - VNI (LOC0124)</v>
      </c>
      <c r="B125" t="str">
        <f>DB_Locations!A125</f>
        <v>LOC0124</v>
      </c>
    </row>
    <row r="126" spans="1:2" x14ac:dyDescent="0.25">
      <c r="A126" t="str">
        <f>INDEX(DB_Patients!B:B,MATCH(DB_Locations!B126,DB_Patients!A:A,0)) &amp; " - " &amp; INDEX(DB_Appareils!B:B,MATCH(DB_Locations!C126,DB_Appareils!A:A,0)) &amp; " (" &amp; DB_Locations!A126 &amp; ")"</f>
        <v>OUESLATI NOUREDDINE - VNI (LOC0125)</v>
      </c>
      <c r="B126" t="str">
        <f>DB_Locations!A126</f>
        <v>LOC0125</v>
      </c>
    </row>
    <row r="127" spans="1:2" x14ac:dyDescent="0.25">
      <c r="A127" t="str">
        <f>INDEX(DB_Patients!B:B,MATCH(DB_Locations!B127,DB_Patients!A:A,0)) &amp; " - " &amp; INDEX(DB_Appareils!B:B,MATCH(DB_Locations!C127,DB_Appareils!A:A,0)) &amp; " (" &amp; DB_Locations!A127 &amp; ")"</f>
        <v>MAHJOUB MOHAMED - VNI (LOC0126)</v>
      </c>
      <c r="B127" t="str">
        <f>DB_Locations!A127</f>
        <v>LOC0126</v>
      </c>
    </row>
    <row r="128" spans="1:2" x14ac:dyDescent="0.25">
      <c r="A128" t="str">
        <f>INDEX(DB_Patients!B:B,MATCH(DB_Locations!B128,DB_Patients!A:A,0)) &amp; " - " &amp; INDEX(DB_Appareils!B:B,MATCH(DB_Locations!C128,DB_Appareils!A:A,0)) &amp; " (" &amp; DB_Locations!A128 &amp; ")"</f>
        <v>HAMDI ABDELLAH - VNI (LOC0127)</v>
      </c>
      <c r="B128" t="str">
        <f>DB_Locations!A128</f>
        <v>LOC0127</v>
      </c>
    </row>
    <row r="129" spans="1:2" x14ac:dyDescent="0.25">
      <c r="A129" t="str">
        <f>INDEX(DB_Patients!B:B,MATCH(DB_Locations!B129,DB_Patients!A:A,0)) &amp; " - " &amp; INDEX(DB_Appareils!B:B,MATCH(DB_Locations!C129,DB_Appareils!A:A,0)) &amp; " (" &amp; DB_Locations!A129 &amp; ")"</f>
        <v>AOUICHAOUI SALAH - CONCENTRATEUR O2 (LOC0128)</v>
      </c>
      <c r="B129" t="str">
        <f>DB_Locations!A129</f>
        <v>LOC0128</v>
      </c>
    </row>
    <row r="130" spans="1:2" x14ac:dyDescent="0.25">
      <c r="A130" t="str">
        <f>INDEX(DB_Patients!B:B,MATCH(DB_Locations!B130,DB_Patients!A:A,0)) &amp; " - " &amp; INDEX(DB_Appareils!B:B,MATCH(DB_Locations!C130,DB_Appareils!A:A,0)) &amp; " (" &amp; DB_Locations!A130 &amp; ")"</f>
        <v>AOUICHAOUI SALAH - VNI (LOC0129)</v>
      </c>
      <c r="B130" t="str">
        <f>DB_Locations!A130</f>
        <v>LOC0129</v>
      </c>
    </row>
    <row r="131" spans="1:2" x14ac:dyDescent="0.25">
      <c r="A131" t="str">
        <f>INDEX(DB_Patients!B:B,MATCH(DB_Locations!B131,DB_Patients!A:A,0)) &amp; " - " &amp; INDEX(DB_Appareils!B:B,MATCH(DB_Locations!C131,DB_Appareils!A:A,0)) &amp; " (" &amp; DB_Locations!A131 &amp; ")"</f>
        <v>HAMZA VVE TOUMI OMEZZINE - VNI (LOC0130)</v>
      </c>
      <c r="B131" t="str">
        <f>DB_Locations!A131</f>
        <v>LOC0130</v>
      </c>
    </row>
    <row r="132" spans="1:2" x14ac:dyDescent="0.25">
      <c r="A132" t="str">
        <f>INDEX(DB_Patients!B:B,MATCH(DB_Locations!B132,DB_Patients!A:A,0)) &amp; " - " &amp; INDEX(DB_Appareils!B:B,MATCH(DB_Locations!C132,DB_Appareils!A:A,0)) &amp; " (" &amp; DB_Locations!A132 &amp; ")"</f>
        <v>SASSI SOLTAN - VNI  (LOC0131)</v>
      </c>
      <c r="B132" t="str">
        <f>DB_Locations!A132</f>
        <v>LOC0131</v>
      </c>
    </row>
    <row r="133" spans="1:2" x14ac:dyDescent="0.25">
      <c r="A133" t="str">
        <f>INDEX(DB_Patients!B:B,MATCH(DB_Locations!B133,DB_Patients!A:A,0)) &amp; " - " &amp; INDEX(DB_Appareils!B:B,MATCH(DB_Locations!C133,DB_Appareils!A:A,0)) &amp; " (" &amp; DB_Locations!A133 &amp; ")"</f>
        <v>MKHININI KAMEL - VNI (LOC0132)</v>
      </c>
      <c r="B133" t="str">
        <f>DB_Locations!A133</f>
        <v>LOC0132</v>
      </c>
    </row>
    <row r="134" spans="1:2" x14ac:dyDescent="0.25">
      <c r="A134" t="str">
        <f>INDEX(DB_Patients!B:B,MATCH(DB_Locations!B134,DB_Patients!A:A,0)) &amp; " - " &amp; INDEX(DB_Appareils!B:B,MATCH(DB_Locations!C134,DB_Appareils!A:A,0)) &amp; " (" &amp; DB_Locations!A134 &amp; ")"</f>
        <v>ABDERAZZEK BOUASKAR - VNI (LOC0133)</v>
      </c>
      <c r="B134" t="str">
        <f>DB_Locations!A134</f>
        <v>LOC0133</v>
      </c>
    </row>
    <row r="135" spans="1:2" x14ac:dyDescent="0.25">
      <c r="A135" t="str">
        <f>INDEX(DB_Patients!B:B,MATCH(DB_Locations!B135,DB_Patients!A:A,0)) &amp; " - " &amp; INDEX(DB_Appareils!B:B,MATCH(DB_Locations!C135,DB_Appareils!A:A,0)) &amp; " (" &amp; DB_Locations!A135 &amp; ")"</f>
        <v>BEN AYED ABDELFFATEH - VNI (LOC0134)</v>
      </c>
      <c r="B135" t="str">
        <f>DB_Locations!A135</f>
        <v>LOC0134</v>
      </c>
    </row>
    <row r="136" spans="1:2" x14ac:dyDescent="0.25">
      <c r="A136" t="str">
        <f>INDEX(DB_Patients!B:B,MATCH(DB_Locations!B136,DB_Patients!A:A,0)) &amp; " - " &amp; INDEX(DB_Appareils!B:B,MATCH(DB_Locations!C136,DB_Appareils!A:A,0)) &amp; " (" &amp; DB_Locations!A136 &amp; ")"</f>
        <v>OUAJA HEDI  - VNI (LOC0135)</v>
      </c>
      <c r="B136" t="str">
        <f>DB_Locations!A136</f>
        <v>LOC0135</v>
      </c>
    </row>
    <row r="137" spans="1:2" x14ac:dyDescent="0.25">
      <c r="A137" t="str">
        <f>INDEX(DB_Patients!B:B,MATCH(DB_Locations!B137,DB_Patients!A:A,0)) &amp; " - " &amp; INDEX(DB_Appareils!B:B,MATCH(DB_Locations!C137,DB_Appareils!A:A,0)) &amp; " (" &amp; DB_Locations!A137 &amp; ")"</f>
        <v>KHAMMARI AMOR - VNI (LOC0136)</v>
      </c>
      <c r="B137" t="str">
        <f>DB_Locations!A137</f>
        <v>LOC0136</v>
      </c>
    </row>
    <row r="138" spans="1:2" x14ac:dyDescent="0.25">
      <c r="A138" t="str">
        <f>INDEX(DB_Patients!B:B,MATCH(DB_Locations!B138,DB_Patients!A:A,0)) &amp; " - " &amp; INDEX(DB_Appareils!B:B,MATCH(DB_Locations!C138,DB_Appareils!A:A,0)) &amp; " (" &amp; DB_Locations!A138 &amp; ")"</f>
        <v>MAALAOUI NOUREDDINE - VNI (LOC0137)</v>
      </c>
      <c r="B138" t="str">
        <f>DB_Locations!A138</f>
        <v>LOC0137</v>
      </c>
    </row>
    <row r="139" spans="1:2" x14ac:dyDescent="0.25">
      <c r="A139" t="str">
        <f>INDEX(DB_Patients!B:B,MATCH(DB_Locations!B139,DB_Patients!A:A,0)) &amp; " - " &amp; INDEX(DB_Appareils!B:B,MATCH(DB_Locations!C139,DB_Appareils!A:A,0)) &amp; " (" &amp; DB_Locations!A139 &amp; ")"</f>
        <v>TURKIA EL AJMI - VNI (LOC0138)</v>
      </c>
      <c r="B139" t="str">
        <f>DB_Locations!A139</f>
        <v>LOC0138</v>
      </c>
    </row>
    <row r="140" spans="1:2" x14ac:dyDescent="0.25">
      <c r="A140" t="str">
        <f>INDEX(DB_Patients!B:B,MATCH(DB_Locations!B140,DB_Patients!A:A,0)) &amp; " - " &amp; INDEX(DB_Appareils!B:B,MATCH(DB_Locations!C140,DB_Appareils!A:A,0)) &amp; " (" &amp; DB_Locations!A140 &amp; ")"</f>
        <v>BOUAJILA TAHER - CONCENTRATEUR O2 (LOC0139)</v>
      </c>
      <c r="B140" t="str">
        <f>DB_Locations!A140</f>
        <v>LOC0139</v>
      </c>
    </row>
    <row r="141" spans="1:2" x14ac:dyDescent="0.25">
      <c r="A141" t="str">
        <f>INDEX(DB_Patients!B:B,MATCH(DB_Locations!B141,DB_Patients!A:A,0)) &amp; " - " &amp; INDEX(DB_Appareils!B:B,MATCH(DB_Locations!C141,DB_Appareils!A:A,0)) &amp; " (" &amp; DB_Locations!A141 &amp; ")"</f>
        <v>KHLIJ AMEUR - VNI (LOC0140)</v>
      </c>
      <c r="B141" t="str">
        <f>DB_Locations!A141</f>
        <v>LOC0140</v>
      </c>
    </row>
    <row r="142" spans="1:2" x14ac:dyDescent="0.25">
      <c r="A142" t="str">
        <f>INDEX(DB_Patients!B:B,MATCH(DB_Locations!B142,DB_Patients!A:A,0)) &amp; " - " &amp; INDEX(DB_Appareils!B:B,MATCH(DB_Locations!C142,DB_Appareils!A:A,0)) &amp; " (" &amp; DB_Locations!A142 &amp; ")"</f>
        <v>MIRAOUI MARAM AICHA - VNI (LOC0141)</v>
      </c>
      <c r="B142" t="str">
        <f>DB_Locations!A142</f>
        <v>LOC0141</v>
      </c>
    </row>
    <row r="143" spans="1:2" x14ac:dyDescent="0.25">
      <c r="A143" t="str">
        <f>INDEX(DB_Patients!B:B,MATCH(DB_Locations!B143,DB_Patients!A:A,0)) &amp; " - " &amp; INDEX(DB_Appareils!B:B,MATCH(DB_Locations!C143,DB_Appareils!A:A,0)) &amp; " (" &amp; DB_Locations!A143 &amp; ")"</f>
        <v>MOULDI GHARSSA - VNI (LOC0142)</v>
      </c>
      <c r="B143" t="str">
        <f>DB_Locations!A143</f>
        <v>LOC0142</v>
      </c>
    </row>
    <row r="144" spans="1:2" x14ac:dyDescent="0.25">
      <c r="A144" t="str">
        <f>INDEX(DB_Patients!B:B,MATCH(DB_Locations!B144,DB_Patients!A:A,0)) &amp; " - " &amp; INDEX(DB_Appareils!B:B,MATCH(DB_Locations!C144,DB_Appareils!A:A,0)) &amp; " (" &amp; DB_Locations!A144 &amp; ")"</f>
        <v>BOUHLEL SAMIR - LIT MEDICAL ELECTRIQUE (LOC0143)</v>
      </c>
      <c r="B144" t="str">
        <f>DB_Locations!A144</f>
        <v>LOC0143</v>
      </c>
    </row>
    <row r="145" spans="1:2" x14ac:dyDescent="0.25">
      <c r="A145" t="str">
        <f>INDEX(DB_Patients!B:B,MATCH(DB_Locations!B145,DB_Patients!A:A,0)) &amp; " - " &amp; INDEX(DB_Appareils!B:B,MATCH(DB_Locations!C145,DB_Appareils!A:A,0)) &amp; " (" &amp; DB_Locations!A145 &amp; ")"</f>
        <v>HNAIEN ABDELFATTEH - VNI (LOC0144)</v>
      </c>
      <c r="B145" t="str">
        <f>DB_Locations!A145</f>
        <v>LOC0144</v>
      </c>
    </row>
    <row r="146" spans="1:2" x14ac:dyDescent="0.25">
      <c r="A146" t="str">
        <f>INDEX(DB_Patients!B:B,MATCH(DB_Locations!B146,DB_Patients!A:A,0)) &amp; " - " &amp; INDEX(DB_Appareils!B:B,MATCH(DB_Locations!C146,DB_Appareils!A:A,0)) &amp; " (" &amp; DB_Locations!A146 &amp; ")"</f>
        <v>SEBAI KAHIA - CPAP Titration (LOC0145)</v>
      </c>
      <c r="B146" t="str">
        <f>DB_Locations!A146</f>
        <v>LOC0145</v>
      </c>
    </row>
    <row r="147" spans="1:2" x14ac:dyDescent="0.25">
      <c r="A147" t="str">
        <f>INDEX(DB_Patients!B:B,MATCH(DB_Locations!B147,DB_Patients!A:A,0)) &amp; " - " &amp; INDEX(DB_Appareils!B:B,MATCH(DB_Locations!C147,DB_Appareils!A:A,0)) &amp; " (" &amp; DB_Locations!A147 &amp; ")"</f>
        <v>MESSOUD MOUNIR - VNI (LOC0146)</v>
      </c>
      <c r="B147" t="str">
        <f>DB_Locations!A147</f>
        <v>LOC0146</v>
      </c>
    </row>
    <row r="148" spans="1:2" x14ac:dyDescent="0.25">
      <c r="A148" t="str">
        <f>INDEX(DB_Patients!B:B,MATCH(DB_Locations!B148,DB_Patients!A:A,0)) &amp; " - " &amp; INDEX(DB_Appareils!B:B,MATCH(DB_Locations!C148,DB_Appareils!A:A,0)) &amp; " (" &amp; DB_Locations!A148 &amp; ")"</f>
        <v>OUNI NEJMA - CONCENTRATEUR O2  (LOC0147)</v>
      </c>
      <c r="B148" t="str">
        <f>DB_Locations!A148</f>
        <v>LOC0147</v>
      </c>
    </row>
    <row r="149" spans="1:2" x14ac:dyDescent="0.25">
      <c r="A149" t="str">
        <f>INDEX(DB_Patients!B:B,MATCH(DB_Locations!B149,DB_Patients!A:A,0)) &amp; " - " &amp; INDEX(DB_Appareils!B:B,MATCH(DB_Locations!C149,DB_Appareils!A:A,0)) &amp; " (" &amp; DB_Locations!A149 &amp; ")"</f>
        <v>OUNI NEJMA - BOUTEIL O2 (LOC0148)</v>
      </c>
      <c r="B149" t="str">
        <f>DB_Locations!A149</f>
        <v>LOC0148</v>
      </c>
    </row>
    <row r="150" spans="1:2" x14ac:dyDescent="0.25">
      <c r="A150" t="str">
        <f>INDEX(DB_Patients!B:B,MATCH(DB_Locations!B150,DB_Patients!A:A,0)) &amp; " - " &amp; INDEX(DB_Appareils!B:B,MATCH(DB_Locations!C150,DB_Appareils!A:A,0)) &amp; " (" &amp; DB_Locations!A150 &amp; ")"</f>
        <v>KHENITECH ZOHRA - CONCENTRATEUR O2 (LOC0149)</v>
      </c>
      <c r="B150" t="str">
        <f>DB_Locations!A150</f>
        <v>LOC0149</v>
      </c>
    </row>
    <row r="151" spans="1:2" x14ac:dyDescent="0.25">
      <c r="A151" t="str">
        <f>INDEX(DB_Patients!B:B,MATCH(DB_Locations!B151,DB_Patients!A:A,0)) &amp; " - " &amp; INDEX(DB_Appareils!B:B,MATCH(DB_Locations!C151,DB_Appareils!A:A,0)) &amp; " (" &amp; DB_Locations!A151 &amp; ")"</f>
        <v>BEN AMEUR ALI - BOUTEIL O2 (LOC0150)</v>
      </c>
      <c r="B151" t="str">
        <f>DB_Locations!A151</f>
        <v>LOC0150</v>
      </c>
    </row>
    <row r="152" spans="1:2" x14ac:dyDescent="0.25">
      <c r="A152" t="str">
        <f>INDEX(DB_Patients!B:B,MATCH(DB_Locations!B152,DB_Patients!A:A,0)) &amp; " - " &amp; INDEX(DB_Appareils!B:B,MATCH(DB_Locations!C152,DB_Appareils!A:A,0)) &amp; " (" &amp; DB_Locations!A152 &amp; ")"</f>
        <v>BOUJOMAA BRAHIM - CONCENTRATEUR O2 (LOC0151)</v>
      </c>
      <c r="B152" t="str">
        <f>DB_Locations!A152</f>
        <v>LOC0151</v>
      </c>
    </row>
    <row r="153" spans="1:2" x14ac:dyDescent="0.25">
      <c r="A153" t="str">
        <f>INDEX(DB_Patients!B:B,MATCH(DB_Locations!B153,DB_Patients!A:A,0)) &amp; " - " &amp; INDEX(DB_Appareils!B:B,MATCH(DB_Locations!C153,DB_Appareils!A:A,0)) &amp; " (" &amp; DB_Locations!A153 &amp; ")"</f>
        <v>OTHMEN FITOURI - BOUTEIL O2 (LOC0152)</v>
      </c>
      <c r="B153" t="str">
        <f>DB_Locations!A153</f>
        <v>LOC0152</v>
      </c>
    </row>
    <row r="154" spans="1:2" x14ac:dyDescent="0.25">
      <c r="A154" t="str">
        <f>INDEX(DB_Patients!B:B,MATCH(DB_Locations!B154,DB_Patients!A:A,0)) &amp; " - " &amp; INDEX(DB_Appareils!B:B,MATCH(DB_Locations!C154,DB_Appareils!A:A,0)) &amp; " (" &amp; DB_Locations!A154 &amp; ")"</f>
        <v>BEN FRADJ HAFEDH - BOUTEIL O2 (LOC0153)</v>
      </c>
      <c r="B154" t="str">
        <f>DB_Locations!A154</f>
        <v>LOC0153</v>
      </c>
    </row>
    <row r="155" spans="1:2" x14ac:dyDescent="0.25">
      <c r="A155" t="str">
        <f>INDEX(DB_Patients!B:B,MATCH(DB_Locations!B155,DB_Patients!A:A,0)) &amp; " - " &amp; INDEX(DB_Appareils!B:B,MATCH(DB_Locations!C155,DB_Appareils!A:A,0)) &amp; " (" &amp; DB_Locations!A155 &amp; ")"</f>
        <v>ZBIBA MAHMOUD BEN MHAMED - BOUTEIL O2 (LOC0154)</v>
      </c>
      <c r="B155" t="str">
        <f>DB_Locations!A155</f>
        <v>LOC0154</v>
      </c>
    </row>
    <row r="156" spans="1:2" x14ac:dyDescent="0.25">
      <c r="A156" t="str">
        <f>INDEX(DB_Patients!B:B,MATCH(DB_Locations!B156,DB_Patients!A:A,0)) &amp; " - " &amp; INDEX(DB_Appareils!B:B,MATCH(DB_Locations!C156,DB_Appareils!A:A,0)) &amp; " (" &amp; DB_Locations!A156 &amp; ")"</f>
        <v>BEN LETAIEF MOHAMED SALAH - VNI (LOC0155)</v>
      </c>
      <c r="B156" t="str">
        <f>DB_Locations!A156</f>
        <v>LOC0155</v>
      </c>
    </row>
    <row r="157" spans="1:2" x14ac:dyDescent="0.25">
      <c r="A157" t="str">
        <f>INDEX(DB_Patients!B:B,MATCH(DB_Locations!B157,DB_Patients!A:A,0)) &amp; " - " &amp; INDEX(DB_Appareils!B:B,MATCH(DB_Locations!C157,DB_Appareils!A:A,0)) &amp; " (" &amp; DB_Locations!A157 &amp; ")"</f>
        <v>NAFFATI NOUREDDINE - CONCENTRATEUR O2 (LOC0156)</v>
      </c>
      <c r="B157" t="str">
        <f>DB_Locations!A157</f>
        <v>LOC0156</v>
      </c>
    </row>
    <row r="158" spans="1:2" x14ac:dyDescent="0.25">
      <c r="A158" t="str">
        <f>INDEX(DB_Patients!B:B,MATCH(DB_Locations!B158,DB_Patients!A:A,0)) &amp; " - " &amp; INDEX(DB_Appareils!B:B,MATCH(DB_Locations!C158,DB_Appareils!A:A,0)) &amp; " (" &amp; DB_Locations!A158 &amp; ")"</f>
        <v>NAFFATI NOUREDDINE - BOUTEIL O2 (LOC0157)</v>
      </c>
      <c r="B158" t="str">
        <f>DB_Locations!A158</f>
        <v>LOC0157</v>
      </c>
    </row>
    <row r="159" spans="1:2" x14ac:dyDescent="0.25">
      <c r="A159" t="str">
        <f>INDEX(DB_Patients!B:B,MATCH(DB_Locations!B159,DB_Patients!A:A,0)) &amp; " - " &amp; INDEX(DB_Appareils!B:B,MATCH(DB_Locations!C159,DB_Appareils!A:A,0)) &amp; " (" &amp; DB_Locations!A159 &amp; ")"</f>
        <v>CHTIOUI MOHAMED - CONCENTRATEUR O2 (LOC0158)</v>
      </c>
      <c r="B159" t="str">
        <f>DB_Locations!A159</f>
        <v>LOC0158</v>
      </c>
    </row>
    <row r="160" spans="1:2" x14ac:dyDescent="0.25">
      <c r="A160" t="str">
        <f>INDEX(DB_Patients!B:B,MATCH(DB_Locations!B160,DB_Patients!A:A,0)) &amp; " - " &amp; INDEX(DB_Appareils!B:B,MATCH(DB_Locations!C160,DB_Appareils!A:A,0)) &amp; " (" &amp; DB_Locations!A160 &amp; ")"</f>
        <v>CHTIOUI MOHAMED - VNI (LOC0159)</v>
      </c>
      <c r="B160" t="str">
        <f>DB_Locations!A160</f>
        <v>LOC0159</v>
      </c>
    </row>
    <row r="161" spans="1:2" x14ac:dyDescent="0.25">
      <c r="A161" t="str">
        <f>INDEX(DB_Patients!B:B,MATCH(DB_Locations!B161,DB_Patients!A:A,0)) &amp; " - " &amp; INDEX(DB_Appareils!B:B,MATCH(DB_Locations!C161,DB_Appareils!A:A,0)) &amp; " (" &amp; DB_Locations!A161 &amp; ")"</f>
        <v>DRIDI MANNOUBI - VNI (LOC0160)</v>
      </c>
      <c r="B161" t="str">
        <f>DB_Locations!A161</f>
        <v>LOC0160</v>
      </c>
    </row>
    <row r="162" spans="1:2" x14ac:dyDescent="0.25">
      <c r="A162" t="str">
        <f>INDEX(DB_Patients!B:B,MATCH(DB_Locations!B162,DB_Patients!A:A,0)) &amp; " - " &amp; INDEX(DB_Appareils!B:B,MATCH(DB_Locations!C162,DB_Appareils!A:A,0)) &amp; " (" &amp; DB_Locations!A162 &amp; ")"</f>
        <v>BAYA KOCHBATI - VNI (LOC0161)</v>
      </c>
      <c r="B162" t="str">
        <f>DB_Locations!A162</f>
        <v>LOC0161</v>
      </c>
    </row>
    <row r="163" spans="1:2" x14ac:dyDescent="0.25">
      <c r="A163" t="str">
        <f>INDEX(DB_Patients!B:B,MATCH(DB_Locations!B163,DB_Patients!A:A,0)) &amp; " - " &amp; INDEX(DB_Appareils!B:B,MATCH(DB_Locations!C163,DB_Appareils!A:A,0)) &amp; " (" &amp; DB_Locations!A163 &amp; ")"</f>
        <v>NAHDI ALI - CONCENTRATEUR O2 (LOC0162)</v>
      </c>
      <c r="B163" t="str">
        <f>DB_Locations!A163</f>
        <v>LOC0162</v>
      </c>
    </row>
    <row r="164" spans="1:2" x14ac:dyDescent="0.25">
      <c r="A164" t="str">
        <f>INDEX(DB_Patients!B:B,MATCH(DB_Locations!B164,DB_Patients!A:A,0)) &amp; " - " &amp; INDEX(DB_Appareils!B:B,MATCH(DB_Locations!C164,DB_Appareils!A:A,0)) &amp; " (" &amp; DB_Locations!A164 &amp; ")"</f>
        <v>DJEMILI MOHAMED - VNI (LOC0163)</v>
      </c>
      <c r="B164" t="str">
        <f>DB_Locations!A164</f>
        <v>LOC0163</v>
      </c>
    </row>
    <row r="165" spans="1:2" x14ac:dyDescent="0.25">
      <c r="A165" t="str">
        <f>INDEX(DB_Patients!B:B,MATCH(DB_Locations!B165,DB_Patients!A:A,0)) &amp; " - " &amp; INDEX(DB_Appareils!B:B,MATCH(DB_Locations!C165,DB_Appareils!A:A,0)) &amp; " (" &amp; DB_Locations!A165 &amp; ")"</f>
        <v>JOUINI HOUCINE - CONCENTRATEUR O2 (LOC0164)</v>
      </c>
      <c r="B165" t="str">
        <f>DB_Locations!A165</f>
        <v>LOC0164</v>
      </c>
    </row>
    <row r="166" spans="1:2" x14ac:dyDescent="0.25">
      <c r="A166" t="str">
        <f>INDEX(DB_Patients!B:B,MATCH(DB_Locations!B166,DB_Patients!A:A,0)) &amp; " - " &amp; INDEX(DB_Appareils!B:B,MATCH(DB_Locations!C166,DB_Appareils!A:A,0)) &amp; " (" &amp; DB_Locations!A166 &amp; ")"</f>
        <v>BOUBAKER ABDELKADER - CONCENTRATEUR O2 (LOC0165)</v>
      </c>
      <c r="B166" t="str">
        <f>DB_Locations!A166</f>
        <v>LOC0165</v>
      </c>
    </row>
    <row r="167" spans="1:2" x14ac:dyDescent="0.25">
      <c r="A167" t="str">
        <f>INDEX(DB_Patients!B:B,MATCH(DB_Locations!B167,DB_Patients!A:A,0)) &amp; " - " &amp; INDEX(DB_Appareils!B:B,MATCH(DB_Locations!C167,DB_Appareils!A:A,0)) &amp; " (" &amp; DB_Locations!A167 &amp; ")"</f>
        <v>BOUBAKER ABDELKADER - VNI (LOC0166)</v>
      </c>
      <c r="B167" t="str">
        <f>DB_Locations!A167</f>
        <v>LOC0166</v>
      </c>
    </row>
    <row r="168" spans="1:2" x14ac:dyDescent="0.25">
      <c r="A168" t="str">
        <f>INDEX(DB_Patients!B:B,MATCH(DB_Locations!B168,DB_Patients!A:A,0)) &amp; " - " &amp; INDEX(DB_Appareils!B:B,MATCH(DB_Locations!C168,DB_Appareils!A:A,0)) &amp; " (" &amp; DB_Locations!A168 &amp; ")"</f>
        <v>SAKET MOSTARI  - CONCENTRATEUR O2 (LOC0167)</v>
      </c>
      <c r="B168" t="str">
        <f>DB_Locations!A168</f>
        <v>LOC0167</v>
      </c>
    </row>
    <row r="169" spans="1:2" x14ac:dyDescent="0.25">
      <c r="A169" t="str">
        <f>INDEX(DB_Patients!B:B,MATCH(DB_Locations!B169,DB_Patients!A:A,0)) &amp; " - " &amp; INDEX(DB_Appareils!B:B,MATCH(DB_Locations!C169,DB_Appareils!A:A,0)) &amp; " (" &amp; DB_Locations!A169 &amp; ")"</f>
        <v>HAJRIA MED ATEF - CONCENTRATEUR O2 (LOC0168)</v>
      </c>
      <c r="B169" t="str">
        <f>DB_Locations!A169</f>
        <v>LOC0168</v>
      </c>
    </row>
    <row r="170" spans="1:2" x14ac:dyDescent="0.25">
      <c r="A170" t="str">
        <f>INDEX(DB_Patients!B:B,MATCH(DB_Locations!B170,DB_Patients!A:A,0)) &amp; " - " &amp; INDEX(DB_Appareils!B:B,MATCH(DB_Locations!C170,DB_Appareils!A:A,0)) &amp; " (" &amp; DB_Locations!A170 &amp; ")"</f>
        <v>AZZOUZI MOHAMED - CONCENTRATEUR O2 (LOC0169)</v>
      </c>
      <c r="B170" t="str">
        <f>DB_Locations!A170</f>
        <v>LOC0169</v>
      </c>
    </row>
    <row r="171" spans="1:2" x14ac:dyDescent="0.25">
      <c r="A171" t="str">
        <f>INDEX(DB_Patients!B:B,MATCH(DB_Locations!B171,DB_Patients!A:A,0)) &amp; " - " &amp; INDEX(DB_Appareils!B:B,MATCH(DB_Locations!C171,DB_Appareils!A:A,0)) &amp; " (" &amp; DB_Locations!A171 &amp; ")"</f>
        <v>MAHOUECHI FARHAT  - CONCENTRATEUR O2 (LOC0170)</v>
      </c>
      <c r="B171" t="str">
        <f>DB_Locations!A171</f>
        <v>LOC0170</v>
      </c>
    </row>
    <row r="172" spans="1:2" x14ac:dyDescent="0.25">
      <c r="A172" t="str">
        <f>INDEX(DB_Patients!B:B,MATCH(DB_Locations!B172,DB_Patients!A:A,0)) &amp; " - " &amp; INDEX(DB_Appareils!B:B,MATCH(DB_Locations!C172,DB_Appareils!A:A,0)) &amp; " (" &amp; DB_Locations!A172 &amp; ")"</f>
        <v>MAHOUECHI FARHAT  - VNI (LOC0171)</v>
      </c>
      <c r="B172" t="str">
        <f>DB_Locations!A172</f>
        <v>LOC0171</v>
      </c>
    </row>
    <row r="173" spans="1:2" x14ac:dyDescent="0.25">
      <c r="A173" t="str">
        <f>INDEX(DB_Patients!B:B,MATCH(DB_Locations!B173,DB_Patients!A:A,0)) &amp; " - " &amp; INDEX(DB_Appareils!B:B,MATCH(DB_Locations!C173,DB_Appareils!A:A,0)) &amp; " (" &amp; DB_Locations!A173 &amp; ")"</f>
        <v>MEMI JAMEL - CONCENTRATEUR O2 (LOC0172)</v>
      </c>
      <c r="B173" t="str">
        <f>DB_Locations!A173</f>
        <v>LOC0172</v>
      </c>
    </row>
    <row r="174" spans="1:2" x14ac:dyDescent="0.25">
      <c r="A174" t="str">
        <f>INDEX(DB_Patients!B:B,MATCH(DB_Locations!B174,DB_Patients!A:A,0)) &amp; " - " &amp; INDEX(DB_Appareils!B:B,MATCH(DB_Locations!C174,DB_Appareils!A:A,0)) &amp; " (" &amp; DB_Locations!A174 &amp; ")"</f>
        <v>AHMED SHILI  - VNI (LOC0173)</v>
      </c>
      <c r="B174" t="str">
        <f>DB_Locations!A174</f>
        <v>LOC0173</v>
      </c>
    </row>
    <row r="175" spans="1:2" x14ac:dyDescent="0.25">
      <c r="A175" t="str">
        <f>INDEX(DB_Patients!B:B,MATCH(DB_Locations!B175,DB_Patients!A:A,0)) &amp; " - " &amp; INDEX(DB_Appareils!B:B,MATCH(DB_Locations!C175,DB_Appareils!A:A,0)) &amp; " (" &amp; DB_Locations!A175 &amp; ")"</f>
        <v>HAMBLI SALOUA  - VNI (LOC0174)</v>
      </c>
      <c r="B175" t="str">
        <f>DB_Locations!A175</f>
        <v>LOC0174</v>
      </c>
    </row>
    <row r="176" spans="1:2" x14ac:dyDescent="0.25">
      <c r="A176" t="str">
        <f>INDEX(DB_Patients!B:B,MATCH(DB_Locations!B176,DB_Patients!A:A,0)) &amp; " - " &amp; INDEX(DB_Appareils!B:B,MATCH(DB_Locations!C176,DB_Appareils!A:A,0)) &amp; " (" &amp; DB_Locations!A176 &amp; ")"</f>
        <v>AIDA GHORBEL  - VNI (LOC0175)</v>
      </c>
      <c r="B176" t="str">
        <f>DB_Locations!A176</f>
        <v>LOC0175</v>
      </c>
    </row>
    <row r="177" spans="1:2" x14ac:dyDescent="0.25">
      <c r="A177" t="str">
        <f>INDEX(DB_Patients!B:B,MATCH(DB_Locations!B177,DB_Patients!A:A,0)) &amp; " - " &amp; INDEX(DB_Appareils!B:B,MATCH(DB_Locations!C177,DB_Appareils!A:A,0)) &amp; " (" &amp; DB_Locations!A177 &amp; ")"</f>
        <v>LOGHMARI NAJIB - VNI (LOC0176)</v>
      </c>
      <c r="B177" t="str">
        <f>DB_Locations!A177</f>
        <v>LOC0176</v>
      </c>
    </row>
    <row r="178" spans="1:2" x14ac:dyDescent="0.25">
      <c r="A178" t="str">
        <f>INDEX(DB_Patients!B:B,MATCH(DB_Locations!B178,DB_Patients!A:A,0)) &amp; " - " &amp; INDEX(DB_Appareils!B:B,MATCH(DB_Locations!C178,DB_Appareils!A:A,0)) &amp; " (" &amp; DB_Locations!A178 &amp; ")"</f>
        <v>SALAH TAHER - VNI (LOC0177)</v>
      </c>
      <c r="B178" t="str">
        <f>DB_Locations!A178</f>
        <v>LOC0177</v>
      </c>
    </row>
    <row r="179" spans="1:2" x14ac:dyDescent="0.25">
      <c r="A179" t="str">
        <f>INDEX(DB_Patients!B:B,MATCH(DB_Locations!B179,DB_Patients!A:A,0)) &amp; " - " &amp; INDEX(DB_Appareils!B:B,MATCH(DB_Locations!C179,DB_Appareils!A:A,0)) &amp; " (" &amp; DB_Locations!A179 &amp; ")"</f>
        <v>BEN MANSOUR BAHIJA - CONCENTRATEUR O2 (LOC0178)</v>
      </c>
      <c r="B179" t="str">
        <f>DB_Locations!A179</f>
        <v>LOC0178</v>
      </c>
    </row>
    <row r="180" spans="1:2" x14ac:dyDescent="0.25">
      <c r="A180" t="e">
        <f>INDEX(DB_Patients!B:B,MATCH(DB_Locations!B180,DB_Patients!A:A,0)) &amp; " - " &amp; INDEX(DB_Appareils!B:B,MATCH(DB_Locations!C180,DB_Appareils!A:A,0)) &amp; " (" &amp; DB_Locations!A180 &amp; ")"</f>
        <v>#N/A</v>
      </c>
      <c r="B180">
        <f>DB_Locations!A180</f>
        <v>0</v>
      </c>
    </row>
    <row r="181" spans="1:2" x14ac:dyDescent="0.25">
      <c r="A181" t="str">
        <f>INDEX(DB_Patients!B:B,MATCH(DB_Locations!B181,DB_Patients!A:A,0)) &amp; " - " &amp; INDEX(DB_Appareils!B:B,MATCH(DB_Locations!C181,DB_Appareils!A:A,0)) &amp; " (" &amp; DB_Locations!A181 &amp; ")"</f>
        <v>ACHECH CHADLIA (MAKRAM HMIDA) - CONCENTRATEUR O2  (LOC0180)</v>
      </c>
      <c r="B181" t="str">
        <f>DB_Locations!A181</f>
        <v>LOC0180</v>
      </c>
    </row>
    <row r="182" spans="1:2" x14ac:dyDescent="0.25">
      <c r="A182" t="str">
        <f>INDEX(DB_Patients!B:B,MATCH(DB_Locations!B182,DB_Patients!A:A,0)) &amp; " - " &amp; INDEX(DB_Appareils!B:B,MATCH(DB_Locations!C182,DB_Appareils!A:A,0)) &amp; " (" &amp; DB_Locations!A182 &amp; ")"</f>
        <v>BNINA MAKKI - CONCENTRATEUR O2  (LOC0181)</v>
      </c>
      <c r="B182" t="str">
        <f>DB_Locations!A182</f>
        <v>LOC0181</v>
      </c>
    </row>
    <row r="183" spans="1:2" x14ac:dyDescent="0.25">
      <c r="A183" t="str">
        <f>INDEX(DB_Patients!B:B,MATCH(DB_Locations!B183,DB_Patients!A:A,0)) &amp; " - " &amp; INDEX(DB_Appareils!B:B,MATCH(DB_Locations!C183,DB_Appareils!A:A,0)) &amp; " (" &amp; DB_Locations!A183 &amp; ")"</f>
        <v>BNINA MAKKI - BOUTEIL O2 (LOC0182)</v>
      </c>
      <c r="B183" t="str">
        <f>DB_Locations!A183</f>
        <v>LOC0182</v>
      </c>
    </row>
    <row r="184" spans="1:2" x14ac:dyDescent="0.25">
      <c r="A184" t="e">
        <f>INDEX(DB_Patients!B:B,MATCH(DB_Locations!B184,DB_Patients!A:A,0)) &amp; " - " &amp; INDEX(DB_Appareils!B:B,MATCH(DB_Locations!C184,DB_Appareils!A:A,0)) &amp; " (" &amp; DB_Locations!A184 &amp; ")"</f>
        <v>#N/A</v>
      </c>
      <c r="B184">
        <f>DB_Locations!A184</f>
        <v>0</v>
      </c>
    </row>
    <row r="185" spans="1:2" x14ac:dyDescent="0.25">
      <c r="A185" t="e">
        <f>INDEX(DB_Patients!B:B,MATCH(DB_Locations!B185,DB_Patients!A:A,0)) &amp; " - " &amp; INDEX(DB_Appareils!B:B,MATCH(DB_Locations!C185,DB_Appareils!A:A,0)) &amp; " (" &amp; DB_Locations!A185 &amp; ")"</f>
        <v>#N/A</v>
      </c>
      <c r="B185">
        <f>DB_Locations!A185</f>
        <v>0</v>
      </c>
    </row>
    <row r="186" spans="1:2" x14ac:dyDescent="0.25">
      <c r="A186" t="e">
        <f>INDEX(DB_Patients!B:B,MATCH(DB_Locations!B186,DB_Patients!A:A,0)) &amp; " - " &amp; INDEX(DB_Appareils!B:B,MATCH(DB_Locations!C186,DB_Appareils!A:A,0)) &amp; " (" &amp; DB_Locations!A186 &amp; ")"</f>
        <v>#N/A</v>
      </c>
      <c r="B186">
        <f>DB_Locations!A186</f>
        <v>0</v>
      </c>
    </row>
    <row r="187" spans="1:2" x14ac:dyDescent="0.25">
      <c r="A187" t="e">
        <f>INDEX(DB_Patients!B:B,MATCH(DB_Locations!B187,DB_Patients!A:A,0)) &amp; " - " &amp; INDEX(DB_Appareils!B:B,MATCH(DB_Locations!C187,DB_Appareils!A:A,0)) &amp; " (" &amp; DB_Locations!A187 &amp; ")"</f>
        <v>#N/A</v>
      </c>
      <c r="B187">
        <f>DB_Locations!A187</f>
        <v>0</v>
      </c>
    </row>
    <row r="188" spans="1:2" x14ac:dyDescent="0.25">
      <c r="A188" t="e">
        <f>INDEX(DB_Patients!B:B,MATCH(DB_Locations!B188,DB_Patients!A:A,0)) &amp; " - " &amp; INDEX(DB_Appareils!B:B,MATCH(DB_Locations!C188,DB_Appareils!A:A,0)) &amp; " (" &amp; DB_Locations!A188 &amp; ")"</f>
        <v>#N/A</v>
      </c>
      <c r="B188">
        <f>DB_Locations!A188</f>
        <v>0</v>
      </c>
    </row>
    <row r="189" spans="1:2" x14ac:dyDescent="0.25">
      <c r="A189" t="e">
        <f>INDEX(DB_Patients!B:B,MATCH(DB_Locations!B189,DB_Patients!A:A,0)) &amp; " - " &amp; INDEX(DB_Appareils!B:B,MATCH(DB_Locations!C189,DB_Appareils!A:A,0)) &amp; " (" &amp; DB_Locations!A189 &amp; ")"</f>
        <v>#N/A</v>
      </c>
      <c r="B189">
        <f>DB_Locations!A189</f>
        <v>0</v>
      </c>
    </row>
    <row r="190" spans="1:2" x14ac:dyDescent="0.25">
      <c r="A190" t="e">
        <f>INDEX(DB_Patients!B:B,MATCH(DB_Locations!B190,DB_Patients!A:A,0)) &amp; " - " &amp; INDEX(DB_Appareils!B:B,MATCH(DB_Locations!C190,DB_Appareils!A:A,0)) &amp; " (" &amp; DB_Locations!A190 &amp; ")"</f>
        <v>#N/A</v>
      </c>
      <c r="B190">
        <f>DB_Locations!A190</f>
        <v>0</v>
      </c>
    </row>
    <row r="191" spans="1:2" x14ac:dyDescent="0.25">
      <c r="A191" t="e">
        <f>INDEX(DB_Patients!B:B,MATCH(DB_Locations!B191,DB_Patients!A:A,0)) &amp; " - " &amp; INDEX(DB_Appareils!B:B,MATCH(DB_Locations!C191,DB_Appareils!A:A,0)) &amp; " (" &amp; DB_Locations!A191 &amp; ")"</f>
        <v>#N/A</v>
      </c>
      <c r="B191">
        <f>DB_Locations!A191</f>
        <v>0</v>
      </c>
    </row>
    <row r="192" spans="1:2" x14ac:dyDescent="0.25">
      <c r="A192" t="e">
        <f>INDEX(DB_Patients!B:B,MATCH(DB_Locations!B192,DB_Patients!A:A,0)) &amp; " - " &amp; INDEX(DB_Appareils!B:B,MATCH(DB_Locations!C192,DB_Appareils!A:A,0)) &amp; " (" &amp; DB_Locations!A192 &amp; ")"</f>
        <v>#N/A</v>
      </c>
      <c r="B192">
        <f>DB_Locations!A192</f>
        <v>0</v>
      </c>
    </row>
    <row r="193" spans="1:2" x14ac:dyDescent="0.25">
      <c r="A193" t="e">
        <f>INDEX(DB_Patients!B:B,MATCH(DB_Locations!B193,DB_Patients!A:A,0)) &amp; " - " &amp; INDEX(DB_Appareils!B:B,MATCH(DB_Locations!C193,DB_Appareils!A:A,0)) &amp; " (" &amp; DB_Locations!A193 &amp; ")"</f>
        <v>#N/A</v>
      </c>
      <c r="B193">
        <f>DB_Locations!A193</f>
        <v>0</v>
      </c>
    </row>
    <row r="194" spans="1:2" x14ac:dyDescent="0.25">
      <c r="A194" t="e">
        <f>INDEX(DB_Patients!B:B,MATCH(DB_Locations!B194,DB_Patients!A:A,0)) &amp; " - " &amp; INDEX(DB_Appareils!B:B,MATCH(DB_Locations!C194,DB_Appareils!A:A,0)) &amp; " (" &amp; DB_Locations!A194 &amp; ")"</f>
        <v>#N/A</v>
      </c>
      <c r="B194">
        <f>DB_Locations!A194</f>
        <v>0</v>
      </c>
    </row>
    <row r="195" spans="1:2" x14ac:dyDescent="0.25">
      <c r="A195" t="e">
        <f>INDEX(DB_Patients!B:B,MATCH(DB_Locations!B195,DB_Patients!A:A,0)) &amp; " - " &amp; INDEX(DB_Appareils!B:B,MATCH(DB_Locations!C195,DB_Appareils!A:A,0)) &amp; " (" &amp; DB_Locations!A195 &amp; ")"</f>
        <v>#N/A</v>
      </c>
      <c r="B195">
        <f>DB_Locations!A195</f>
        <v>0</v>
      </c>
    </row>
    <row r="196" spans="1:2" x14ac:dyDescent="0.25">
      <c r="A196" t="e">
        <f>INDEX(DB_Patients!B:B,MATCH(DB_Locations!B196,DB_Patients!A:A,0)) &amp; " - " &amp; INDEX(DB_Appareils!B:B,MATCH(DB_Locations!C196,DB_Appareils!A:A,0)) &amp; " (" &amp; DB_Locations!A196 &amp; ")"</f>
        <v>#N/A</v>
      </c>
      <c r="B196">
        <f>DB_Locations!A196</f>
        <v>0</v>
      </c>
    </row>
    <row r="197" spans="1:2" x14ac:dyDescent="0.25">
      <c r="A197" t="e">
        <f>INDEX(DB_Patients!B:B,MATCH(DB_Locations!B197,DB_Patients!A:A,0)) &amp; " - " &amp; INDEX(DB_Appareils!B:B,MATCH(DB_Locations!C197,DB_Appareils!A:A,0)) &amp; " (" &amp; DB_Locations!A197 &amp; ")"</f>
        <v>#N/A</v>
      </c>
      <c r="B197">
        <f>DB_Locations!A197</f>
        <v>0</v>
      </c>
    </row>
    <row r="198" spans="1:2" x14ac:dyDescent="0.25">
      <c r="A198" t="e">
        <f>INDEX(DB_Patients!B:B,MATCH(DB_Locations!B198,DB_Patients!A:A,0)) &amp; " - " &amp; INDEX(DB_Appareils!B:B,MATCH(DB_Locations!C198,DB_Appareils!A:A,0)) &amp; " (" &amp; DB_Locations!A198 &amp; ")"</f>
        <v>#N/A</v>
      </c>
      <c r="B198">
        <f>DB_Locations!A198</f>
        <v>0</v>
      </c>
    </row>
    <row r="199" spans="1:2" x14ac:dyDescent="0.25">
      <c r="A199" t="e">
        <f>INDEX(DB_Patients!B:B,MATCH(DB_Locations!B199,DB_Patients!A:A,0)) &amp; " - " &amp; INDEX(DB_Appareils!B:B,MATCH(DB_Locations!C199,DB_Appareils!A:A,0)) &amp; " (" &amp; DB_Locations!A199 &amp; ")"</f>
        <v>#N/A</v>
      </c>
      <c r="B199">
        <f>DB_Locations!A199</f>
        <v>0</v>
      </c>
    </row>
    <row r="200" spans="1:2" x14ac:dyDescent="0.25">
      <c r="A200" t="e">
        <f>INDEX(DB_Patients!B:B,MATCH(DB_Locations!B200,DB_Patients!A:A,0)) &amp; " - " &amp; INDEX(DB_Appareils!B:B,MATCH(DB_Locations!C200,DB_Appareils!A:A,0)) &amp; " (" &amp; DB_Locations!A200 &amp; ")"</f>
        <v>#N/A</v>
      </c>
      <c r="B200">
        <f>DB_Locations!A200</f>
        <v>0</v>
      </c>
    </row>
    <row r="201" spans="1:2" x14ac:dyDescent="0.25">
      <c r="A201" t="e">
        <f>INDEX(DB_Patients!B:B,MATCH(DB_Locations!B201,DB_Patients!A:A,0)) &amp; " - " &amp; INDEX(DB_Appareils!B:B,MATCH(DB_Locations!C201,DB_Appareils!A:A,0)) &amp; " (" &amp; DB_Locations!A201 &amp; ")"</f>
        <v>#N/A</v>
      </c>
      <c r="B201">
        <f>DB_Locations!A201</f>
        <v>0</v>
      </c>
    </row>
    <row r="202" spans="1:2" x14ac:dyDescent="0.25">
      <c r="A202" t="e">
        <f>INDEX(DB_Patients!B:B,MATCH(DB_Locations!B202,DB_Patients!A:A,0)) &amp; " - " &amp; INDEX(DB_Appareils!B:B,MATCH(DB_Locations!C202,DB_Appareils!A:A,0)) &amp; " (" &amp; DB_Locations!A202 &amp; ")"</f>
        <v>#N/A</v>
      </c>
      <c r="B202">
        <f>DB_Locations!A202</f>
        <v>0</v>
      </c>
    </row>
    <row r="203" spans="1:2" x14ac:dyDescent="0.25">
      <c r="A203" t="e">
        <f>INDEX(DB_Patients!B:B,MATCH(DB_Locations!B203,DB_Patients!A:A,0)) &amp; " - " &amp; INDEX(DB_Appareils!B:B,MATCH(DB_Locations!C203,DB_Appareils!A:A,0)) &amp; " (" &amp; DB_Locations!A203 &amp; ")"</f>
        <v>#N/A</v>
      </c>
      <c r="B203">
        <f>DB_Locations!A203</f>
        <v>0</v>
      </c>
    </row>
    <row r="204" spans="1:2" x14ac:dyDescent="0.25">
      <c r="A204" t="e">
        <f>INDEX(DB_Patients!B:B,MATCH(DB_Locations!B204,DB_Patients!A:A,0)) &amp; " - " &amp; INDEX(DB_Appareils!B:B,MATCH(DB_Locations!C204,DB_Appareils!A:A,0)) &amp; " (" &amp; DB_Locations!A204 &amp; ")"</f>
        <v>#N/A</v>
      </c>
      <c r="B204">
        <f>DB_Locations!A204</f>
        <v>0</v>
      </c>
    </row>
    <row r="205" spans="1:2" x14ac:dyDescent="0.25">
      <c r="A205" t="e">
        <f>INDEX(DB_Patients!B:B,MATCH(DB_Locations!B205,DB_Patients!A:A,0)) &amp; " - " &amp; INDEX(DB_Appareils!B:B,MATCH(DB_Locations!C205,DB_Appareils!A:A,0)) &amp; " (" &amp; DB_Locations!A205 &amp; ")"</f>
        <v>#N/A</v>
      </c>
      <c r="B205">
        <f>DB_Locations!A205</f>
        <v>0</v>
      </c>
    </row>
    <row r="206" spans="1:2" x14ac:dyDescent="0.25">
      <c r="A206" t="e">
        <f>INDEX(DB_Patients!B:B,MATCH(DB_Locations!B206,DB_Patients!A:A,0)) &amp; " - " &amp; INDEX(DB_Appareils!B:B,MATCH(DB_Locations!C206,DB_Appareils!A:A,0)) &amp; " (" &amp; DB_Locations!A206 &amp; ")"</f>
        <v>#N/A</v>
      </c>
      <c r="B206">
        <f>DB_Locations!A206</f>
        <v>0</v>
      </c>
    </row>
    <row r="207" spans="1:2" x14ac:dyDescent="0.25">
      <c r="A207" t="e">
        <f>INDEX(DB_Patients!B:B,MATCH(DB_Locations!B207,DB_Patients!A:A,0)) &amp; " - " &amp; INDEX(DB_Appareils!B:B,MATCH(DB_Locations!C207,DB_Appareils!A:A,0)) &amp; " (" &amp; DB_Locations!A207 &amp; ")"</f>
        <v>#N/A</v>
      </c>
      <c r="B207">
        <f>DB_Locations!A207</f>
        <v>0</v>
      </c>
    </row>
    <row r="208" spans="1:2" x14ac:dyDescent="0.25">
      <c r="A208" t="e">
        <f>INDEX(DB_Patients!B:B,MATCH(DB_Locations!B208,DB_Patients!A:A,0)) &amp; " - " &amp; INDEX(DB_Appareils!B:B,MATCH(DB_Locations!C208,DB_Appareils!A:A,0)) &amp; " (" &amp; DB_Locations!A208 &amp; ")"</f>
        <v>#N/A</v>
      </c>
      <c r="B208">
        <f>DB_Locations!A208</f>
        <v>0</v>
      </c>
    </row>
    <row r="209" spans="1:2" x14ac:dyDescent="0.25">
      <c r="A209" t="e">
        <f>INDEX(DB_Patients!B:B,MATCH(DB_Locations!B209,DB_Patients!A:A,0)) &amp; " - " &amp; INDEX(DB_Appareils!B:B,MATCH(DB_Locations!C209,DB_Appareils!A:A,0)) &amp; " (" &amp; DB_Locations!A209 &amp; ")"</f>
        <v>#N/A</v>
      </c>
      <c r="B209">
        <f>DB_Locations!A209</f>
        <v>0</v>
      </c>
    </row>
    <row r="210" spans="1:2" x14ac:dyDescent="0.25">
      <c r="A210" t="e">
        <f>INDEX(DB_Patients!B:B,MATCH(DB_Locations!B210,DB_Patients!A:A,0)) &amp; " - " &amp; INDEX(DB_Appareils!B:B,MATCH(DB_Locations!C210,DB_Appareils!A:A,0)) &amp; " (" &amp; DB_Locations!A210 &amp; ")"</f>
        <v>#N/A</v>
      </c>
      <c r="B210">
        <f>DB_Locations!A210</f>
        <v>0</v>
      </c>
    </row>
    <row r="211" spans="1:2" x14ac:dyDescent="0.25">
      <c r="A211" t="e">
        <f>INDEX(DB_Patients!B:B,MATCH(DB_Locations!B211,DB_Patients!A:A,0)) &amp; " - " &amp; INDEX(DB_Appareils!B:B,MATCH(DB_Locations!C211,DB_Appareils!A:A,0)) &amp; " (" &amp; DB_Locations!A211 &amp; ")"</f>
        <v>#N/A</v>
      </c>
      <c r="B211">
        <f>DB_Locations!A211</f>
        <v>0</v>
      </c>
    </row>
    <row r="212" spans="1:2" x14ac:dyDescent="0.25">
      <c r="A212" t="e">
        <f>INDEX(DB_Patients!B:B,MATCH(DB_Locations!B212,DB_Patients!A:A,0)) &amp; " - " &amp; INDEX(DB_Appareils!B:B,MATCH(DB_Locations!C212,DB_Appareils!A:A,0)) &amp; " (" &amp; DB_Locations!A212 &amp; ")"</f>
        <v>#N/A</v>
      </c>
      <c r="B212">
        <f>DB_Locations!A212</f>
        <v>0</v>
      </c>
    </row>
    <row r="213" spans="1:2" x14ac:dyDescent="0.25">
      <c r="A213" t="e">
        <f>INDEX(DB_Patients!B:B,MATCH(DB_Locations!B213,DB_Patients!A:A,0)) &amp; " - " &amp; INDEX(DB_Appareils!B:B,MATCH(DB_Locations!C213,DB_Appareils!A:A,0)) &amp; " (" &amp; DB_Locations!A213 &amp; ")"</f>
        <v>#N/A</v>
      </c>
      <c r="B213">
        <f>DB_Locations!A213</f>
        <v>0</v>
      </c>
    </row>
    <row r="214" spans="1:2" x14ac:dyDescent="0.25">
      <c r="A214" t="e">
        <f>INDEX(DB_Patients!B:B,MATCH(DB_Locations!B214,DB_Patients!A:A,0)) &amp; " - " &amp; INDEX(DB_Appareils!B:B,MATCH(DB_Locations!C214,DB_Appareils!A:A,0)) &amp; " (" &amp; DB_Locations!A214 &amp; ")"</f>
        <v>#N/A</v>
      </c>
      <c r="B214">
        <f>DB_Locations!A214</f>
        <v>0</v>
      </c>
    </row>
    <row r="215" spans="1:2" x14ac:dyDescent="0.25">
      <c r="A215" t="e">
        <f>INDEX(DB_Patients!B:B,MATCH(DB_Locations!B215,DB_Patients!A:A,0)) &amp; " - " &amp; INDEX(DB_Appareils!B:B,MATCH(DB_Locations!C215,DB_Appareils!A:A,0)) &amp; " (" &amp; DB_Locations!A215 &amp; ")"</f>
        <v>#N/A</v>
      </c>
      <c r="B215">
        <f>DB_Locations!A215</f>
        <v>0</v>
      </c>
    </row>
    <row r="216" spans="1:2" x14ac:dyDescent="0.25">
      <c r="A216" t="e">
        <f>INDEX(DB_Patients!B:B,MATCH(DB_Locations!B216,DB_Patients!A:A,0)) &amp; " - " &amp; INDEX(DB_Appareils!B:B,MATCH(DB_Locations!C216,DB_Appareils!A:A,0)) &amp; " (" &amp; DB_Locations!A216 &amp; ")"</f>
        <v>#N/A</v>
      </c>
      <c r="B216">
        <f>DB_Locations!A216</f>
        <v>0</v>
      </c>
    </row>
    <row r="217" spans="1:2" x14ac:dyDescent="0.25">
      <c r="A217" t="e">
        <f>INDEX(DB_Patients!B:B,MATCH(DB_Locations!B217,DB_Patients!A:A,0)) &amp; " - " &amp; INDEX(DB_Appareils!B:B,MATCH(DB_Locations!C217,DB_Appareils!A:A,0)) &amp; " (" &amp; DB_Locations!A217 &amp; ")"</f>
        <v>#N/A</v>
      </c>
      <c r="B217">
        <f>DB_Locations!A217</f>
        <v>0</v>
      </c>
    </row>
    <row r="218" spans="1:2" x14ac:dyDescent="0.25">
      <c r="A218" t="e">
        <f>INDEX(DB_Patients!B:B,MATCH(DB_Locations!B218,DB_Patients!A:A,0)) &amp; " - " &amp; INDEX(DB_Appareils!B:B,MATCH(DB_Locations!C218,DB_Appareils!A:A,0)) &amp; " (" &amp; DB_Locations!A218 &amp; ")"</f>
        <v>#N/A</v>
      </c>
      <c r="B218">
        <f>DB_Locations!A218</f>
        <v>0</v>
      </c>
    </row>
    <row r="219" spans="1:2" x14ac:dyDescent="0.25">
      <c r="A219" t="e">
        <f>INDEX(DB_Patients!B:B,MATCH(DB_Locations!B219,DB_Patients!A:A,0)) &amp; " - " &amp; INDEX(DB_Appareils!B:B,MATCH(DB_Locations!C219,DB_Appareils!A:A,0)) &amp; " (" &amp; DB_Locations!A219 &amp; ")"</f>
        <v>#N/A</v>
      </c>
      <c r="B219">
        <f>DB_Locations!A219</f>
        <v>0</v>
      </c>
    </row>
    <row r="220" spans="1:2" x14ac:dyDescent="0.25">
      <c r="A220" t="e">
        <f>INDEX(DB_Patients!B:B,MATCH(DB_Locations!B220,DB_Patients!A:A,0)) &amp; " - " &amp; INDEX(DB_Appareils!B:B,MATCH(DB_Locations!C220,DB_Appareils!A:A,0)) &amp; " (" &amp; DB_Locations!A220 &amp; ")"</f>
        <v>#N/A</v>
      </c>
      <c r="B220">
        <f>DB_Locations!A220</f>
        <v>0</v>
      </c>
    </row>
    <row r="221" spans="1:2" x14ac:dyDescent="0.25">
      <c r="A221" t="str">
        <f>IF(DB_Locations!I221="Actif",INDEX(DB_Patients!B:B,MATCH(DB_Locations!B221,DB_Patients!A:A,0))&amp;" - "&amp;INDEX(DB_Appareils!B:B,MATCH(DB_Locations!C221,DB_Appareils!A:A,0))&amp;" ("&amp;DB_Locations!A221&amp;")","")</f>
        <v/>
      </c>
      <c r="B221">
        <f>DB_Locations!A221</f>
        <v>0</v>
      </c>
    </row>
    <row r="222" spans="1:2" x14ac:dyDescent="0.25">
      <c r="A222" t="str">
        <f>IF(DB_Locations!I222="Actif",INDEX(DB_Patients!B:B,MATCH(DB_Locations!B222,DB_Patients!A:A,0))&amp;" - "&amp;INDEX(DB_Appareils!B:B,MATCH(DB_Locations!C222,DB_Appareils!A:A,0))&amp;" ("&amp;DB_Locations!A222&amp;")","")</f>
        <v/>
      </c>
      <c r="B222">
        <f>DB_Locations!A222</f>
        <v>0</v>
      </c>
    </row>
    <row r="223" spans="1:2" x14ac:dyDescent="0.25">
      <c r="A223" t="str">
        <f>IF(DB_Locations!I223="Actif",INDEX(DB_Patients!B:B,MATCH(DB_Locations!B223,DB_Patients!A:A,0))&amp;" - "&amp;INDEX(DB_Appareils!B:B,MATCH(DB_Locations!C223,DB_Appareils!A:A,0))&amp;" ("&amp;DB_Locations!A223&amp;")","")</f>
        <v/>
      </c>
      <c r="B223" t="str">
        <f>IF(DB_Locations!I223="Actif",DB_Locations!A223,"")</f>
        <v/>
      </c>
    </row>
    <row r="224" spans="1:2" x14ac:dyDescent="0.25">
      <c r="A224" t="str">
        <f>IF(DB_Locations!I224="Actif",INDEX(DB_Patients!B:B,MATCH(DB_Locations!B224,DB_Patients!A:A,0))&amp;" - "&amp;INDEX(DB_Appareils!B:B,MATCH(DB_Locations!C224,DB_Appareils!A:A,0))&amp;" ("&amp;DB_Locations!A224&amp;")","")</f>
        <v/>
      </c>
      <c r="B224" t="str">
        <f>IF(DB_Locations!I224="Actif",DB_Locations!A224,"")</f>
        <v/>
      </c>
    </row>
    <row r="225" spans="2:2" x14ac:dyDescent="0.25">
      <c r="B225" t="str">
        <f>IF(DB_Locations!I225="Actif",DB_Locations!A225,"")</f>
        <v/>
      </c>
    </row>
    <row r="226" spans="2:2" x14ac:dyDescent="0.25">
      <c r="B226" t="str">
        <f>IF(DB_Locations!I226="Actif",DB_Locations!A226,"")</f>
        <v/>
      </c>
    </row>
    <row r="227" spans="2:2" x14ac:dyDescent="0.25">
      <c r="B227" t="str">
        <f>IF(DB_Locations!I227="Actif",DB_Locations!A227,"")</f>
        <v/>
      </c>
    </row>
    <row r="228" spans="2:2" x14ac:dyDescent="0.25">
      <c r="B228" t="str">
        <f>IF(DB_Locations!I228="Actif",DB_Locations!A228,"")</f>
        <v/>
      </c>
    </row>
    <row r="229" spans="2:2" x14ac:dyDescent="0.25">
      <c r="B229" t="str">
        <f>IF(DB_Locations!I229="Actif",DB_Locations!A229,"")</f>
        <v/>
      </c>
    </row>
    <row r="230" spans="2:2" x14ac:dyDescent="0.25">
      <c r="B230" t="str">
        <f>IF(DB_Locations!I230="Actif",DB_Locations!A230,"")</f>
        <v/>
      </c>
    </row>
    <row r="231" spans="2:2" x14ac:dyDescent="0.25">
      <c r="B231" t="str">
        <f>IF(DB_Locations!I231="Actif",DB_Locations!A231,"")</f>
        <v/>
      </c>
    </row>
    <row r="232" spans="2:2" x14ac:dyDescent="0.25">
      <c r="B232" t="str">
        <f>IF(DB_Locations!I232="Actif",DB_Locations!A232,"")</f>
        <v/>
      </c>
    </row>
    <row r="233" spans="2:2" x14ac:dyDescent="0.25">
      <c r="B233" t="str">
        <f>IF(DB_Locations!I233="Actif",DB_Locations!A233,"")</f>
        <v/>
      </c>
    </row>
    <row r="234" spans="2:2" x14ac:dyDescent="0.25">
      <c r="B234" t="str">
        <f>IF(DB_Locations!I234="Actif",DB_Locations!A234,"")</f>
        <v/>
      </c>
    </row>
    <row r="235" spans="2:2" x14ac:dyDescent="0.25">
      <c r="B235" t="str">
        <f>IF(DB_Locations!I235="Actif",DB_Locations!A235,"")</f>
        <v/>
      </c>
    </row>
    <row r="236" spans="2:2" x14ac:dyDescent="0.25">
      <c r="B236" t="str">
        <f>IF(DB_Locations!I236="Actif",DB_Locations!A236,"")</f>
        <v/>
      </c>
    </row>
    <row r="237" spans="2:2" x14ac:dyDescent="0.25">
      <c r="B237" t="str">
        <f>IF(DB_Locations!I237="Actif",DB_Locations!A237,"")</f>
        <v/>
      </c>
    </row>
    <row r="238" spans="2:2" x14ac:dyDescent="0.25">
      <c r="B238" t="str">
        <f>IF(DB_Locations!I238="Actif",DB_Locations!A238,"")</f>
        <v/>
      </c>
    </row>
    <row r="239" spans="2:2" x14ac:dyDescent="0.25">
      <c r="B239" t="str">
        <f>IF(DB_Locations!I239="Actif",DB_Locations!A239,"")</f>
        <v/>
      </c>
    </row>
    <row r="240" spans="2:2" x14ac:dyDescent="0.25">
      <c r="B240" t="str">
        <f>IF(DB_Locations!I240="Actif",DB_Locations!A240,"")</f>
        <v/>
      </c>
    </row>
    <row r="241" spans="2:2" x14ac:dyDescent="0.25">
      <c r="B241" t="str">
        <f>IF(DB_Locations!I241="Actif",DB_Locations!A241,"")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1"/>
  <sheetViews>
    <sheetView workbookViewId="0">
      <selection activeCell="B3" sqref="B3"/>
    </sheetView>
  </sheetViews>
  <sheetFormatPr defaultRowHeight="15" x14ac:dyDescent="0.25"/>
  <cols>
    <col min="1" max="1" width="68.140625" customWidth="1"/>
    <col min="2" max="2" width="55.140625" bestFit="1" customWidth="1"/>
    <col min="3" max="3" width="12" customWidth="1"/>
    <col min="4" max="4" width="10" customWidth="1"/>
    <col min="5" max="6" width="12" customWidth="1"/>
    <col min="8" max="8" width="13" hidden="1" customWidth="1"/>
    <col min="10" max="11" width="20" customWidth="1"/>
  </cols>
  <sheetData>
    <row r="1" spans="1:11" ht="21" x14ac:dyDescent="0.35">
      <c r="A1" s="141" t="s">
        <v>163</v>
      </c>
      <c r="B1" s="142"/>
      <c r="C1" s="142"/>
      <c r="D1" s="142"/>
      <c r="E1" s="142"/>
      <c r="F1" s="142"/>
      <c r="G1" s="142"/>
      <c r="H1" s="142"/>
      <c r="J1" s="145" t="s">
        <v>164</v>
      </c>
      <c r="K1" s="142"/>
    </row>
    <row r="2" spans="1:11" x14ac:dyDescent="0.25">
      <c r="J2" s="143" t="s">
        <v>3</v>
      </c>
      <c r="K2" s="144"/>
    </row>
    <row r="3" spans="1:11" ht="15.75" x14ac:dyDescent="0.25">
      <c r="A3" s="6" t="s">
        <v>165</v>
      </c>
      <c r="B3" s="5" t="s">
        <v>2502</v>
      </c>
      <c r="D3" s="7" t="s">
        <v>166</v>
      </c>
      <c r="J3" s="143" t="s">
        <v>167</v>
      </c>
      <c r="K3" s="144"/>
    </row>
    <row r="4" spans="1:11" x14ac:dyDescent="0.25">
      <c r="J4" s="143" t="s">
        <v>168</v>
      </c>
      <c r="K4" s="144"/>
    </row>
    <row r="5" spans="1:11" x14ac:dyDescent="0.25">
      <c r="H5" t="str">
        <f>IF(B3="","",INDEX(Lookups!B:B,MATCH(B3,Lookups!A:A,0)))</f>
        <v>LOC0055</v>
      </c>
      <c r="J5" s="143" t="s">
        <v>169</v>
      </c>
      <c r="K5" s="144"/>
    </row>
    <row r="6" spans="1:11" x14ac:dyDescent="0.25">
      <c r="H6" t="str">
        <f>IF(H5="","",INDEX(DB_Locations!B:B,MATCH(H5,DB_Locations!A:A,0)))</f>
        <v>PAT0031</v>
      </c>
      <c r="J6" s="143"/>
      <c r="K6" s="144"/>
    </row>
    <row r="7" spans="1:11" x14ac:dyDescent="0.25">
      <c r="J7" s="143" t="s">
        <v>170</v>
      </c>
      <c r="K7" s="144"/>
    </row>
    <row r="8" spans="1:11" ht="18.75" x14ac:dyDescent="0.3">
      <c r="A8" s="8" t="s">
        <v>171</v>
      </c>
      <c r="J8" s="143" t="s">
        <v>172</v>
      </c>
      <c r="K8" s="144"/>
    </row>
    <row r="9" spans="1:11" x14ac:dyDescent="0.25">
      <c r="J9" s="143" t="s">
        <v>173</v>
      </c>
      <c r="K9" s="144"/>
    </row>
    <row r="10" spans="1:11" x14ac:dyDescent="0.25">
      <c r="A10" s="9" t="s">
        <v>174</v>
      </c>
      <c r="B10" t="str">
        <f>H6</f>
        <v>PAT0031</v>
      </c>
      <c r="J10" s="143" t="s">
        <v>175</v>
      </c>
      <c r="K10" s="144"/>
    </row>
    <row r="11" spans="1:11" x14ac:dyDescent="0.25">
      <c r="A11" s="9" t="s">
        <v>176</v>
      </c>
      <c r="B11" t="str">
        <f>IF(B3="","Aucune location sélectionnée",LEFT(B3,FIND(" - ",B3)-1))</f>
        <v>JEAN CLAUDE</v>
      </c>
      <c r="J11" s="143" t="s">
        <v>177</v>
      </c>
      <c r="K11" s="144"/>
    </row>
    <row r="12" spans="1:11" x14ac:dyDescent="0.25">
      <c r="A12" s="9" t="s">
        <v>178</v>
      </c>
      <c r="B12" t="str">
        <f>IF(H6="","",INDEX(DB_Patients!C:C,MATCH(H6,DB_Patients!A:A,0)))</f>
        <v>N°08430790</v>
      </c>
      <c r="J12" s="143" t="s">
        <v>179</v>
      </c>
      <c r="K12" s="144"/>
    </row>
    <row r="13" spans="1:11" x14ac:dyDescent="0.25">
      <c r="A13" s="9" t="s">
        <v>180</v>
      </c>
      <c r="B13" t="str">
        <f>IF(H6="","",TEXT(INDEX(DB_Patients!D:D,MATCH(H6,DB_Patients!A:A,0)),"JJ/MM/AAAA"))</f>
        <v>30/04/1934</v>
      </c>
      <c r="J13" s="143" t="s">
        <v>181</v>
      </c>
      <c r="K13" s="144"/>
    </row>
    <row r="14" spans="1:11" x14ac:dyDescent="0.25">
      <c r="A14" s="9" t="s">
        <v>182</v>
      </c>
      <c r="B14" t="str">
        <f>IF(H6="","",INDEX(DB_Patients!E:E,MATCH(H6,DB_Patients!A:A,0)))</f>
        <v>SOUSSE</v>
      </c>
      <c r="J14" s="143"/>
      <c r="K14" s="144"/>
    </row>
    <row r="15" spans="1:11" x14ac:dyDescent="0.25">
      <c r="A15" s="9" t="s">
        <v>183</v>
      </c>
      <c r="B15" t="str">
        <f>IF(H6="","",INDEX(DB_Patients!F:F,MATCH(H6,DB_Patients!A:A,0)))</f>
        <v>CITE ERRIADH</v>
      </c>
      <c r="J15" s="143" t="s">
        <v>184</v>
      </c>
      <c r="K15" s="144"/>
    </row>
    <row r="16" spans="1:11" x14ac:dyDescent="0.25">
      <c r="A16" s="9" t="s">
        <v>185</v>
      </c>
      <c r="B16" t="str">
        <f>IF(H6="","",INDEX(DB_Patients!G:G,MATCH(H6,DB_Patients!A:A,0)))</f>
        <v>CITE ERRIADH ( pres carrefour )</v>
      </c>
      <c r="J16" s="143" t="s">
        <v>186</v>
      </c>
      <c r="K16" s="144"/>
    </row>
    <row r="17" spans="1:11" x14ac:dyDescent="0.25">
      <c r="J17" s="143" t="s">
        <v>187</v>
      </c>
      <c r="K17" s="144"/>
    </row>
    <row r="18" spans="1:11" ht="18.75" x14ac:dyDescent="0.3">
      <c r="A18" s="8" t="s">
        <v>188</v>
      </c>
      <c r="J18" s="143" t="s">
        <v>189</v>
      </c>
      <c r="K18" s="144"/>
    </row>
    <row r="19" spans="1:11" x14ac:dyDescent="0.25">
      <c r="J19" s="143" t="s">
        <v>190</v>
      </c>
      <c r="K19" s="144"/>
    </row>
    <row r="20" spans="1:11" x14ac:dyDescent="0.25">
      <c r="A20" s="9" t="s">
        <v>191</v>
      </c>
      <c r="B20" t="str">
        <f>IF(H6="","",INDEX(DB_Patients!H:H,MATCH(H6,DB_Patients!A:A,0))&amp;" ("&amp;INDEX(DB_Patients!I:I,MATCH(H6,DB_Patients!A:A,0))&amp;")")</f>
        <v>54651222 (AMIN FILS)</v>
      </c>
      <c r="J20" s="143" t="s">
        <v>192</v>
      </c>
      <c r="K20" s="144"/>
    </row>
    <row r="21" spans="1:11" x14ac:dyDescent="0.25">
      <c r="A21" s="9" t="s">
        <v>193</v>
      </c>
      <c r="B21" t="str">
        <f>IF(H6="","",IF(INDEX(DB_Patients!J:J,MATCH(H6,DB_Patients!A:A,0))&lt;&gt;"",INDEX(DB_Patients!J:J,MATCH(H6,DB_Patients!A:A,0))&amp;" ("&amp;INDEX(DB_Patients!K:K,MATCH(H6,DB_Patients!A:A,0))&amp;")","Non renseigné"))</f>
        <v>50706233 (PERSONNEL)</v>
      </c>
      <c r="J21" s="143"/>
      <c r="K21" s="144"/>
    </row>
    <row r="22" spans="1:11" x14ac:dyDescent="0.25">
      <c r="J22" s="143" t="s">
        <v>194</v>
      </c>
      <c r="K22" s="144"/>
    </row>
    <row r="23" spans="1:11" ht="18.75" x14ac:dyDescent="0.3">
      <c r="A23" s="8" t="s">
        <v>195</v>
      </c>
      <c r="J23" s="143" t="s">
        <v>196</v>
      </c>
      <c r="K23" s="144"/>
    </row>
    <row r="24" spans="1:11" x14ac:dyDescent="0.25">
      <c r="J24" s="143" t="s">
        <v>51</v>
      </c>
      <c r="K24" s="144"/>
    </row>
    <row r="25" spans="1:11" x14ac:dyDescent="0.25">
      <c r="A25" s="9" t="s">
        <v>197</v>
      </c>
      <c r="B25" t="str">
        <f>IF(H6="","",INDEX(DB_Patients!L:L,MATCH(H6,DB_Patients!A:A,0)))</f>
        <v>ABDELAZIZ HAYOUNI</v>
      </c>
      <c r="J25" s="143" t="s">
        <v>198</v>
      </c>
      <c r="K25" s="144"/>
    </row>
    <row r="26" spans="1:11" x14ac:dyDescent="0.25">
      <c r="A26" s="9" t="s">
        <v>199</v>
      </c>
      <c r="B26" t="str">
        <f>IF(H6="","",INDEX(DB_Patients!M:M,MATCH(H6,DB_Patients!A:A,0)))</f>
        <v>ESPECE</v>
      </c>
      <c r="J26" s="143"/>
      <c r="K26" s="144"/>
    </row>
    <row r="27" spans="1:11" x14ac:dyDescent="0.25">
      <c r="A27" s="9" t="s">
        <v>200</v>
      </c>
      <c r="B27" t="str">
        <f>IF(H6="","",IF(INDEX(DB_Patients!N:N,MATCH(H6,DB_Patients!A:A,0))&lt;&gt;"",INDEX(DB_Patients!N:N,MATCH(H6,DB_Patients!A:A,0)),"Non renseigné"))</f>
        <v>Non renseigné</v>
      </c>
      <c r="J27" s="143" t="s">
        <v>201</v>
      </c>
      <c r="K27" s="144"/>
    </row>
    <row r="28" spans="1:11" x14ac:dyDescent="0.25">
      <c r="J28" s="143" t="s">
        <v>202</v>
      </c>
      <c r="K28" s="144"/>
    </row>
    <row r="29" spans="1:11" x14ac:dyDescent="0.25">
      <c r="J29" s="143" t="s">
        <v>203</v>
      </c>
      <c r="K29" s="144"/>
    </row>
    <row r="30" spans="1:11" ht="18.75" x14ac:dyDescent="0.3">
      <c r="A30" s="8" t="s">
        <v>204</v>
      </c>
      <c r="J30" s="143" t="s">
        <v>205</v>
      </c>
      <c r="K30" s="144"/>
    </row>
    <row r="31" spans="1:11" x14ac:dyDescent="0.25">
      <c r="J31" s="143"/>
      <c r="K31" s="144"/>
    </row>
    <row r="32" spans="1:11" x14ac:dyDescent="0.25">
      <c r="A32" s="9" t="s">
        <v>206</v>
      </c>
      <c r="B32" t="str">
        <f>H5</f>
        <v>LOC0055</v>
      </c>
      <c r="J32" s="143" t="s">
        <v>207</v>
      </c>
      <c r="K32" s="144"/>
    </row>
    <row r="33" spans="1:11" x14ac:dyDescent="0.25">
      <c r="A33" s="9" t="s">
        <v>208</v>
      </c>
      <c r="B33" t="str">
        <f>IF(H5="","",INDEX(DB_Appareils!B:B,MATCH(INDEX(DB_Locations!C:C,MATCH(H5,DB_Locations!A:A,0)),DB_Appareils!A:A,0)))</f>
        <v>CONCENTRATEUR O2</v>
      </c>
      <c r="J33" s="143" t="s">
        <v>209</v>
      </c>
      <c r="K33" s="144"/>
    </row>
    <row r="34" spans="1:11" x14ac:dyDescent="0.25">
      <c r="A34" s="9" t="s">
        <v>210</v>
      </c>
      <c r="B34" t="str">
        <f>IF(H5="","",INDEX(DB_Appareils!C:C,MATCH(INDEX(DB_Locations!C:C,MATCH(H5,DB_Locations!A:A,0)),DB_Appareils!A:A,0)))</f>
        <v xml:space="preserve">YUWELL   (5 LITRE) </v>
      </c>
      <c r="J34" s="143" t="s">
        <v>211</v>
      </c>
      <c r="K34" s="144"/>
    </row>
    <row r="35" spans="1:11" x14ac:dyDescent="0.25">
      <c r="A35" s="9" t="s">
        <v>212</v>
      </c>
      <c r="B35">
        <f>IF(H5="","",INDEX(DB_Appareils!D:D,MATCH(INDEX(DB_Locations!C:C,MATCH(H5,DB_Locations!A:A,0)),DB_Appareils!A:A,0)))</f>
        <v>20240418023</v>
      </c>
      <c r="J35" s="143" t="s">
        <v>213</v>
      </c>
      <c r="K35" s="144"/>
    </row>
    <row r="36" spans="1:11" x14ac:dyDescent="0.25">
      <c r="A36" s="9" t="s">
        <v>214</v>
      </c>
      <c r="B36" t="str">
        <f>IF(H5="","",INDEX(DB_Locations!F:F,MATCH(H5,DB_Locations!A:A,0)))</f>
        <v>KARIM</v>
      </c>
      <c r="J36" s="143" t="s">
        <v>215</v>
      </c>
      <c r="K36" s="144"/>
    </row>
    <row r="37" spans="1:11" x14ac:dyDescent="0.25">
      <c r="A37" s="9" t="s">
        <v>216</v>
      </c>
      <c r="B37">
        <f>IF(H5="","",INDEX(DB_Locations!G:G,MATCH(H5,DB_Locations!A:A,0)))</f>
        <v>0</v>
      </c>
    </row>
    <row r="38" spans="1:11" x14ac:dyDescent="0.25">
      <c r="A38" s="9" t="s">
        <v>217</v>
      </c>
      <c r="B38" t="str">
        <f>IF(H5="","",TEXT(INDEX(DB_Locations!D:D,MATCH(H5,DB_Locations!A:A,0)),"JJ/MM/AAAA"))</f>
        <v>29/07/2025</v>
      </c>
    </row>
    <row r="39" spans="1:11" x14ac:dyDescent="0.25">
      <c r="A39" s="9" t="s">
        <v>218</v>
      </c>
      <c r="B39" t="str">
        <f>IF(H5="","",INDEX(DB_Locations!H:H,MATCH(H5,DB_Locations!A:A,0))&amp;" TND")</f>
        <v>250 TND</v>
      </c>
    </row>
    <row r="42" spans="1:11" ht="18.75" x14ac:dyDescent="0.3">
      <c r="A42" s="8" t="s">
        <v>219</v>
      </c>
    </row>
    <row r="44" spans="1:11" x14ac:dyDescent="0.25">
      <c r="A44" s="9" t="s">
        <v>220</v>
      </c>
      <c r="B44">
        <f>IF(H5="","",COUNTIF(DB_Paiements!B:B,H5))</f>
        <v>1</v>
      </c>
    </row>
    <row r="45" spans="1:11" x14ac:dyDescent="0.25">
      <c r="A45" s="9" t="s">
        <v>221</v>
      </c>
      <c r="B45" t="str">
        <f>IF(H5="","",SUMIF(DB_Paiements!B:B,H5,DB_Paiements!F:F)&amp;" TND")</f>
        <v>250 TND</v>
      </c>
    </row>
    <row r="46" spans="1:11" x14ac:dyDescent="0.25">
      <c r="A46" s="9" t="s">
        <v>222</v>
      </c>
      <c r="B46" t="str">
        <f>IF(H5="","",SUMIF(DB_Paiements!B:B,H5,DB_Paiements!H:H)&amp;" jours")</f>
        <v>0 jours</v>
      </c>
    </row>
    <row r="49" spans="1:6" ht="18.75" x14ac:dyDescent="0.3">
      <c r="A49" s="8" t="s">
        <v>223</v>
      </c>
    </row>
    <row r="51" spans="1:6" ht="45" x14ac:dyDescent="0.25">
      <c r="A51" s="2" t="s">
        <v>224</v>
      </c>
      <c r="B51" s="2" t="s">
        <v>225</v>
      </c>
      <c r="C51" s="2" t="s">
        <v>226</v>
      </c>
      <c r="D51" s="2" t="s">
        <v>152</v>
      </c>
      <c r="E51" s="2" t="s">
        <v>103</v>
      </c>
      <c r="F51" s="2" t="s">
        <v>1090</v>
      </c>
    </row>
    <row r="52" spans="1:6" x14ac:dyDescent="0.25">
      <c r="A52" s="10" t="s">
        <v>227</v>
      </c>
      <c r="B52" s="11">
        <f>IF(H5="","",IF(COUNTIFS(DB_Paiements!B:B,H5,DB_Paiements!C:C,1)=0,"",LOOKUP(2,1/((DB_Paiements!B:B=H5)*(DB_Paiements!C:C=1)),DB_Paiements!D:D)))</f>
        <v>45867</v>
      </c>
      <c r="C52" s="11">
        <f>IF(H5="","",IF(COUNTIFS(DB_Paiements!B:B,H5,DB_Paiements!C:C,1)=0,"",LOOKUP(2,1/((DB_Paiements!B:B=H5)*(DB_Paiements!C:C=1)),DB_Paiements!E:E)))</f>
        <v>45897</v>
      </c>
      <c r="D52" s="3">
        <f>IF(H5="","",IF(COUNTIFS(DB_Paiements!B:B,H5,DB_Paiements!C:C,1)=0,"",LOOKUP(2,1/((DB_Paiements!B:B=H5)*(DB_Paiements!C:C=1)),DB_Paiements!F:F)))</f>
        <v>250</v>
      </c>
      <c r="E52" s="3" t="str">
        <f>IF(H5="","",IF(COUNTIFS(DB_Paiements!B:B,H5,DB_Paiements!C:C,1)=0,"",LOOKUP(2,1/((DB_Paiements!B:B=H5)*(DB_Paiements!C:C=1)),DB_Paiements!G:G)))</f>
        <v>ESPECE</v>
      </c>
      <c r="F52" s="3">
        <f>IF(H5="","",IF(COUNTIFS(DB_Paiements!B:B,H5,DB_Paiements!C:C,1)=0,"",LOOKUP(2,1/((DB_Paiements!B:B=H5)*(DB_Paiements!C:C=1)),DB_Paiements!H:H)))</f>
        <v>0</v>
      </c>
    </row>
    <row r="53" spans="1:6" x14ac:dyDescent="0.25">
      <c r="A53" s="10" t="s">
        <v>228</v>
      </c>
      <c r="B53" s="11" t="str">
        <f>IF(H5="","",IF(COUNTIFS(DB_Paiements!B:B,H5,DB_Paiements!C:C,2)=0,"",LOOKUP(2,1/((DB_Paiements!B:B=H5)*(DB_Paiements!C:C=2)),DB_Paiements!D:D)))</f>
        <v/>
      </c>
      <c r="C53" s="11" t="str">
        <f>IF(H5="","",IF(COUNTIFS(DB_Paiements!B:B,H5,DB_Paiements!C:C,2)=0,"",LOOKUP(2,1/((DB_Paiements!B:B=H5)*(DB_Paiements!C:C=2)),DB_Paiements!E:E)))</f>
        <v/>
      </c>
      <c r="D53" s="3" t="str">
        <f>IF(H5="","",IF(COUNTIFS(DB_Paiements!B:B,H5,DB_Paiements!C:C,2)=0,"",LOOKUP(2,1/((DB_Paiements!B:B=H5)*(DB_Paiements!C:C=2)),DB_Paiements!F:F)))</f>
        <v/>
      </c>
      <c r="E53" s="3" t="str">
        <f>IF(H5="","",IF(COUNTIFS(DB_Paiements!B:B,H5,DB_Paiements!C:C,2)=0,"",LOOKUP(2,1/((DB_Paiements!B:B=H5)*(DB_Paiements!C:C=2)),DB_Paiements!G:G)))</f>
        <v/>
      </c>
      <c r="F53" s="3" t="str">
        <f>IF(H5="","",IF(COUNTIFS(DB_Paiements!B:B,H5,DB_Paiements!C:C,2)=0,"",LOOKUP(2,1/((DB_Paiements!B:B=H5)*(DB_Paiements!C:C=2)),DB_Paiements!H:H)))</f>
        <v/>
      </c>
    </row>
    <row r="54" spans="1:6" x14ac:dyDescent="0.25">
      <c r="A54" s="10" t="s">
        <v>229</v>
      </c>
      <c r="B54" s="11" t="str">
        <f>IF(H5="","",IF(COUNTIFS(DB_Paiements!B:B,H5,DB_Paiements!C:C,3)=0,"",LOOKUP(2,1/((DB_Paiements!B:B=H5)*(DB_Paiements!C:C=3)),DB_Paiements!D:D)))</f>
        <v/>
      </c>
      <c r="C54" s="11" t="str">
        <f>IF(H5="","",IF(COUNTIFS(DB_Paiements!B:B,H5,DB_Paiements!C:C,3)=0,"",LOOKUP(2,1/((DB_Paiements!B:B=H5)*(DB_Paiements!C:C=3)),DB_Paiements!E:E)))</f>
        <v/>
      </c>
      <c r="D54" s="3" t="str">
        <f>IF(H5="","",IF(COUNTIFS(DB_Paiements!B:B,H5,DB_Paiements!C:C,3)=0,"",LOOKUP(2,1/((DB_Paiements!B:B=H5)*(DB_Paiements!C:C=3)),DB_Paiements!F:F)))</f>
        <v/>
      </c>
      <c r="E54" s="3" t="str">
        <f>IF(H5="","",IF(COUNTIFS(DB_Paiements!B:B,H5,DB_Paiements!C:C,3)=0,"",LOOKUP(2,1/((DB_Paiements!B:B=H5)*(DB_Paiements!C:C=3)),DB_Paiements!G:G)))</f>
        <v/>
      </c>
      <c r="F54" s="3" t="str">
        <f>IF(H5="","",IF(COUNTIFS(DB_Paiements!B:B,H5,DB_Paiements!C:C,3)=0,"",LOOKUP(2,1/((DB_Paiements!B:B=H5)*(DB_Paiements!C:C=3)),DB_Paiements!H:H)))</f>
        <v/>
      </c>
    </row>
    <row r="55" spans="1:6" x14ac:dyDescent="0.25">
      <c r="A55" s="10" t="s">
        <v>230</v>
      </c>
      <c r="B55" s="11" t="str">
        <f>IF(H5="","",IF(COUNTIFS(DB_Paiements!B:B,H5,DB_Paiements!C:C,4)=0,"",LOOKUP(2,1/((DB_Paiements!B:B=H5)*(DB_Paiements!C:C=4)),DB_Paiements!D:D)))</f>
        <v/>
      </c>
      <c r="C55" s="11" t="str">
        <f>IF(H5="","",IF(COUNTIFS(DB_Paiements!B:B,H5,DB_Paiements!C:C,4)=0,"",LOOKUP(2,1/((DB_Paiements!B:B=H5)*(DB_Paiements!C:C=4)),DB_Paiements!E:E)))</f>
        <v/>
      </c>
      <c r="D55" s="3" t="str">
        <f>IF(H5="","",IF(COUNTIFS(DB_Paiements!B:B,H5,DB_Paiements!C:C,4)=0,"",LOOKUP(2,1/((DB_Paiements!B:B=H5)*(DB_Paiements!C:C=4)),DB_Paiements!F:F)))</f>
        <v/>
      </c>
      <c r="E55" s="3" t="str">
        <f>IF(H5="","",IF(COUNTIFS(DB_Paiements!B:B,H5,DB_Paiements!C:C,4)=0,"",LOOKUP(2,1/((DB_Paiements!B:B=H5)*(DB_Paiements!C:C=4)),DB_Paiements!G:G)))</f>
        <v/>
      </c>
      <c r="F55" s="3" t="str">
        <f>IF(H5="","",IF(COUNTIFS(DB_Paiements!B:B,H5,DB_Paiements!C:C,4)=0,"",LOOKUP(2,1/((DB_Paiements!B:B=H5)*(DB_Paiements!C:C=4)),DB_Paiements!H:H)))</f>
        <v/>
      </c>
    </row>
    <row r="56" spans="1:6" x14ac:dyDescent="0.25">
      <c r="A56" s="10" t="s">
        <v>231</v>
      </c>
      <c r="B56" s="11" t="str">
        <f>IF(H5="","",IF(COUNTIFS(DB_Paiements!B:B,H5,DB_Paiements!C:C,5)=0,"",LOOKUP(2,1/((DB_Paiements!B:B=H5)*(DB_Paiements!C:C=5)),DB_Paiements!D:D)))</f>
        <v/>
      </c>
      <c r="C56" s="11" t="str">
        <f>IF(H5="","",IF(COUNTIFS(DB_Paiements!B:B,H5,DB_Paiements!C:C,5)=0,"",LOOKUP(2,1/((DB_Paiements!B:B=H5)*(DB_Paiements!C:C=5)),DB_Paiements!E:E)))</f>
        <v/>
      </c>
      <c r="D56" s="3" t="str">
        <f>IF(H5="","",IF(COUNTIFS(DB_Paiements!B:B,H5,DB_Paiements!C:C,5)=0,"",LOOKUP(2,1/((DB_Paiements!B:B=H5)*(DB_Paiements!C:C=5)),DB_Paiements!F:F)))</f>
        <v/>
      </c>
      <c r="E56" s="3" t="str">
        <f>IF(H5="","",IF(COUNTIFS(DB_Paiements!B:B,H5,DB_Paiements!C:C,5)=0,"",LOOKUP(2,1/((DB_Paiements!B:B=H5)*(DB_Paiements!C:C=5)),DB_Paiements!G:G)))</f>
        <v/>
      </c>
      <c r="F56" s="3" t="str">
        <f>IF(H5="","",IF(COUNTIFS(DB_Paiements!B:B,H5,DB_Paiements!C:C,5)=0,"",LOOKUP(2,1/((DB_Paiements!B:B=H5)*(DB_Paiements!C:C=5)),DB_Paiements!H:H)))</f>
        <v/>
      </c>
    </row>
    <row r="57" spans="1:6" x14ac:dyDescent="0.25">
      <c r="A57" s="10" t="s">
        <v>232</v>
      </c>
      <c r="B57" s="11" t="str">
        <f>IF(H5="","",IF(COUNTIFS(DB_Paiements!B:B,H5,DB_Paiements!C:C,6)=0,"",LOOKUP(2,1/((DB_Paiements!B:B=H5)*(DB_Paiements!C:C=6)),DB_Paiements!D:D)))</f>
        <v/>
      </c>
      <c r="C57" s="11" t="str">
        <f>IF(H5="","",IF(COUNTIFS(DB_Paiements!B:B,H5,DB_Paiements!C:C,6)=0,"",LOOKUP(2,1/((DB_Paiements!B:B=H5)*(DB_Paiements!C:C=6)),DB_Paiements!E:E)))</f>
        <v/>
      </c>
      <c r="D57" s="3" t="str">
        <f>IF(H5="","",IF(COUNTIFS(DB_Paiements!B:B,H5,DB_Paiements!C:C,6)=0,"",LOOKUP(2,1/((DB_Paiements!B:B=H5)*(DB_Paiements!C:C=6)),DB_Paiements!F:F)))</f>
        <v/>
      </c>
      <c r="E57" s="3" t="str">
        <f>IF(H5="","",IF(COUNTIFS(DB_Paiements!B:B,H5,DB_Paiements!C:C,6)=0,"",LOOKUP(2,1/((DB_Paiements!B:B=H5)*(DB_Paiements!C:C=6)),DB_Paiements!G:G)))</f>
        <v/>
      </c>
      <c r="F57" s="3" t="str">
        <f>IF(H5="","",IF(COUNTIFS(DB_Paiements!B:B,H5,DB_Paiements!C:C,6)=0,"",LOOKUP(2,1/((DB_Paiements!B:B=H5)*(DB_Paiements!C:C=6)),DB_Paiements!H:H)))</f>
        <v/>
      </c>
    </row>
    <row r="58" spans="1:6" x14ac:dyDescent="0.25">
      <c r="A58" s="10" t="s">
        <v>233</v>
      </c>
      <c r="B58" s="11" t="str">
        <f>IF(H5="","",IF(COUNTIFS(DB_Paiements!B:B,H5,DB_Paiements!C:C,7)=0,"",LOOKUP(2,1/((DB_Paiements!B:B=H5)*(DB_Paiements!C:C=7)),DB_Paiements!D:D)))</f>
        <v/>
      </c>
      <c r="C58" s="11" t="str">
        <f>IF(H5="","",IF(COUNTIFS(DB_Paiements!B:B,H5,DB_Paiements!C:C,7)=0,"",LOOKUP(2,1/((DB_Paiements!B:B=H5)*(DB_Paiements!C:C=7)),DB_Paiements!E:E)))</f>
        <v/>
      </c>
      <c r="D58" s="3" t="str">
        <f>IF(H5="","",IF(COUNTIFS(DB_Paiements!B:B,H5,DB_Paiements!C:C,7)=0,"",LOOKUP(2,1/((DB_Paiements!B:B=H5)*(DB_Paiements!C:C=7)),DB_Paiements!F:F)))</f>
        <v/>
      </c>
      <c r="E58" s="3" t="str">
        <f>IF(H5="","",IF(COUNTIFS(DB_Paiements!B:B,H5,DB_Paiements!C:C,7)=0,"",LOOKUP(2,1/((DB_Paiements!B:B=H5)*(DB_Paiements!C:C=7)),DB_Paiements!G:G)))</f>
        <v/>
      </c>
      <c r="F58" s="3" t="str">
        <f>IF(H5="","",IF(COUNTIFS(DB_Paiements!B:B,H5,DB_Paiements!C:C,7)=0,"",LOOKUP(2,1/((DB_Paiements!B:B=H5)*(DB_Paiements!C:C=7)),DB_Paiements!H:H)))</f>
        <v/>
      </c>
    </row>
    <row r="59" spans="1:6" x14ac:dyDescent="0.25">
      <c r="A59" s="10" t="s">
        <v>234</v>
      </c>
      <c r="B59" s="11" t="str">
        <f>IF(H5="","",IF(COUNTIFS(DB_Paiements!B:B,H5,DB_Paiements!C:C,8)=0,"",LOOKUP(2,1/((DB_Paiements!B:B=H5)*(DB_Paiements!C:C=8)),DB_Paiements!D:D)))</f>
        <v/>
      </c>
      <c r="C59" s="11" t="str">
        <f>IF(H5="","",IF(COUNTIFS(DB_Paiements!B:B,H5,DB_Paiements!C:C,8)=0,"",LOOKUP(2,1/((DB_Paiements!B:B=H5)*(DB_Paiements!C:C=8)),DB_Paiements!E:E)))</f>
        <v/>
      </c>
      <c r="D59" s="3" t="str">
        <f>IF(H5="","",IF(COUNTIFS(DB_Paiements!B:B,H5,DB_Paiements!C:C,8)=0,"",LOOKUP(2,1/((DB_Paiements!B:B=H5)*(DB_Paiements!C:C=8)),DB_Paiements!F:F)))</f>
        <v/>
      </c>
      <c r="E59" s="3" t="str">
        <f>IF(H5="","",IF(COUNTIFS(DB_Paiements!B:B,H5,DB_Paiements!C:C,8)=0,"",LOOKUP(2,1/((DB_Paiements!B:B=H5)*(DB_Paiements!C:C=8)),DB_Paiements!G:G)))</f>
        <v/>
      </c>
      <c r="F59" s="3" t="str">
        <f>IF(H5="","",IF(COUNTIFS(DB_Paiements!B:B,H5,DB_Paiements!C:C,8)=0,"",LOOKUP(2,1/((DB_Paiements!B:B=H5)*(DB_Paiements!C:C=8)),DB_Paiements!H:H)))</f>
        <v/>
      </c>
    </row>
    <row r="60" spans="1:6" x14ac:dyDescent="0.25">
      <c r="A60" s="10" t="s">
        <v>235</v>
      </c>
      <c r="B60" s="11" t="str">
        <f>IF(H5="","",IF(COUNTIFS(DB_Paiements!B:B,H5,DB_Paiements!C:C,9)=0,"",LOOKUP(2,1/((DB_Paiements!B:B=H5)*(DB_Paiements!C:C=9)),DB_Paiements!D:D)))</f>
        <v/>
      </c>
      <c r="C60" s="11" t="str">
        <f>IF(H5="","",IF(COUNTIFS(DB_Paiements!B:B,H5,DB_Paiements!C:C,9)=0,"",LOOKUP(2,1/((DB_Paiements!B:B=H5)*(DB_Paiements!C:C=9)),DB_Paiements!E:E)))</f>
        <v/>
      </c>
      <c r="D60" s="3" t="str">
        <f>IF(H5="","",IF(COUNTIFS(DB_Paiements!B:B,H5,DB_Paiements!C:C,9)=0,"",LOOKUP(2,1/((DB_Paiements!B:B=H5)*(DB_Paiements!C:C=9)),DB_Paiements!F:F)))</f>
        <v/>
      </c>
      <c r="E60" s="3" t="str">
        <f>IF(H5="","",IF(COUNTIFS(DB_Paiements!B:B,H5,DB_Paiements!C:C,9)=0,"",LOOKUP(2,1/((DB_Paiements!B:B=H5)*(DB_Paiements!C:C=9)),DB_Paiements!G:G)))</f>
        <v/>
      </c>
      <c r="F60" s="3" t="str">
        <f>IF(H5="","",IF(COUNTIFS(DB_Paiements!B:B,H5,DB_Paiements!C:C,9)=0,"",LOOKUP(2,1/((DB_Paiements!B:B=H5)*(DB_Paiements!C:C=9)),DB_Paiements!H:H)))</f>
        <v/>
      </c>
    </row>
    <row r="61" spans="1:6" x14ac:dyDescent="0.25">
      <c r="A61" s="10" t="s">
        <v>236</v>
      </c>
      <c r="B61" s="11" t="str">
        <f>IF(H5="","",IF(COUNTIFS(DB_Paiements!B:B,H5,DB_Paiements!C:C,10)=0,"",LOOKUP(2,1/((DB_Paiements!B:B=H5)*(DB_Paiements!C:C=10)),DB_Paiements!D:D)))</f>
        <v/>
      </c>
      <c r="C61" s="11" t="str">
        <f>IF(H5="","",IF(COUNTIFS(DB_Paiements!B:B,H5,DB_Paiements!C:C,10)=0,"",LOOKUP(2,1/((DB_Paiements!B:B=H5)*(DB_Paiements!C:C=10)),DB_Paiements!E:E)))</f>
        <v/>
      </c>
      <c r="D61" s="3" t="str">
        <f>IF(H5="","",IF(COUNTIFS(DB_Paiements!B:B,H5,DB_Paiements!C:C,10)=0,"",LOOKUP(2,1/((DB_Paiements!B:B=H5)*(DB_Paiements!C:C=10)),DB_Paiements!F:F)))</f>
        <v/>
      </c>
      <c r="E61" s="3" t="str">
        <f>IF(H5="","",IF(COUNTIFS(DB_Paiements!B:B,H5,DB_Paiements!C:C,10)=0,"",LOOKUP(2,1/((DB_Paiements!B:B=H5)*(DB_Paiements!C:C=10)),DB_Paiements!G:G)))</f>
        <v/>
      </c>
      <c r="F61" s="3" t="str">
        <f>IF(H5="","",IF(COUNTIFS(DB_Paiements!B:B,H5,DB_Paiements!C:C,10)=0,"",LOOKUP(2,1/((DB_Paiements!B:B=H5)*(DB_Paiements!C:C=10)),DB_Paiements!H:H)))</f>
        <v/>
      </c>
    </row>
    <row r="62" spans="1:6" x14ac:dyDescent="0.25">
      <c r="A62" s="10" t="s">
        <v>237</v>
      </c>
      <c r="B62" s="11" t="str">
        <f>IF(H5="","",IF(COUNTIFS(DB_Paiements!B:B,H5,DB_Paiements!C:C,11)=0,"",LOOKUP(2,1/((DB_Paiements!B:B=H5)*(DB_Paiements!C:C=11)),DB_Paiements!D:D)))</f>
        <v/>
      </c>
      <c r="C62" s="11" t="str">
        <f>IF(H5="","",IF(COUNTIFS(DB_Paiements!B:B,H5,DB_Paiements!C:C,11)=0,"",LOOKUP(2,1/((DB_Paiements!B:B=H5)*(DB_Paiements!C:C=11)),DB_Paiements!E:E)))</f>
        <v/>
      </c>
      <c r="D62" s="3" t="str">
        <f>IF(H5="","",IF(COUNTIFS(DB_Paiements!B:B,H5,DB_Paiements!C:C,11)=0,"",LOOKUP(2,1/((DB_Paiements!B:B=H5)*(DB_Paiements!C:C=11)),DB_Paiements!F:F)))</f>
        <v/>
      </c>
      <c r="E62" s="3" t="str">
        <f>IF(H5="","",IF(COUNTIFS(DB_Paiements!B:B,H5,DB_Paiements!C:C,11)=0,"",LOOKUP(2,1/((DB_Paiements!B:B=H5)*(DB_Paiements!C:C=11)),DB_Paiements!G:G)))</f>
        <v/>
      </c>
      <c r="F62" s="3" t="str">
        <f>IF(H5="","",IF(COUNTIFS(DB_Paiements!B:B,H5,DB_Paiements!C:C,11)=0,"",LOOKUP(2,1/((DB_Paiements!B:B=H5)*(DB_Paiements!C:C=11)),DB_Paiements!H:H)))</f>
        <v/>
      </c>
    </row>
    <row r="63" spans="1:6" x14ac:dyDescent="0.25">
      <c r="A63" s="10" t="s">
        <v>238</v>
      </c>
      <c r="B63" s="11" t="str">
        <f>IF(H5="","",IF(COUNTIFS(DB_Paiements!B:B,H5,DB_Paiements!C:C,12)=0,"",LOOKUP(2,1/((DB_Paiements!B:B=H5)*(DB_Paiements!C:C=12)),DB_Paiements!D:D)))</f>
        <v/>
      </c>
      <c r="C63" s="11" t="str">
        <f>IF(H5="","",IF(COUNTIFS(DB_Paiements!B:B,H5,DB_Paiements!C:C,12)=0,"",LOOKUP(2,1/((DB_Paiements!B:B=H5)*(DB_Paiements!C:C=12)),DB_Paiements!E:E)))</f>
        <v/>
      </c>
      <c r="D63" s="3" t="str">
        <f>IF(H5="","",IF(COUNTIFS(DB_Paiements!B:B,H5,DB_Paiements!C:C,12)=0,"",LOOKUP(2,1/((DB_Paiements!B:B=H5)*(DB_Paiements!C:C=12)),DB_Paiements!F:F)))</f>
        <v/>
      </c>
      <c r="E63" s="3" t="str">
        <f>IF(H5="","",IF(COUNTIFS(DB_Paiements!B:B,H5,DB_Paiements!C:C,12)=0,"",LOOKUP(2,1/((DB_Paiements!B:B=H5)*(DB_Paiements!C:C=12)),DB_Paiements!G:G)))</f>
        <v/>
      </c>
      <c r="F63" s="3" t="str">
        <f>IF(H5="","",IF(COUNTIFS(DB_Paiements!B:B,H5,DB_Paiements!C:C,12)=0,"",LOOKUP(2,1/((DB_Paiements!B:B=H5)*(DB_Paiements!C:C=12)),DB_Paiements!H:H)))</f>
        <v/>
      </c>
    </row>
    <row r="64" spans="1:6" x14ac:dyDescent="0.25">
      <c r="A64" s="10" t="s">
        <v>239</v>
      </c>
      <c r="B64" s="11" t="str">
        <f>IF(H5="","",IF(COUNTIFS(DB_Paiements!B:B,H5,DB_Paiements!C:C,13)=0,"",LOOKUP(2,1/((DB_Paiements!B:B=H5)*(DB_Paiements!C:C=13)),DB_Paiements!D:D)))</f>
        <v/>
      </c>
      <c r="C64" s="11" t="str">
        <f>IF(H5="","",IF(COUNTIFS(DB_Paiements!B:B,H5,DB_Paiements!C:C,13)=0,"",LOOKUP(2,1/((DB_Paiements!B:B=H5)*(DB_Paiements!C:C=13)),DB_Paiements!E:E)))</f>
        <v/>
      </c>
      <c r="D64" s="3" t="str">
        <f>IF(H5="","",IF(COUNTIFS(DB_Paiements!B:B,H5,DB_Paiements!C:C,13)=0,"",LOOKUP(2,1/((DB_Paiements!B:B=H5)*(DB_Paiements!C:C=13)),DB_Paiements!F:F)))</f>
        <v/>
      </c>
      <c r="E64" s="3" t="str">
        <f>IF(H5="","",IF(COUNTIFS(DB_Paiements!B:B,H5,DB_Paiements!C:C,13)=0,"",LOOKUP(2,1/((DB_Paiements!B:B=H5)*(DB_Paiements!C:C=13)),DB_Paiements!G:G)))</f>
        <v/>
      </c>
      <c r="F64" s="3" t="str">
        <f>IF(H5="","",IF(COUNTIFS(DB_Paiements!B:B,H5,DB_Paiements!C:C,13)=0,"",LOOKUP(2,1/((DB_Paiements!B:B=H5)*(DB_Paiements!C:C=13)),DB_Paiements!H:H)))</f>
        <v/>
      </c>
    </row>
    <row r="65" spans="1:6" x14ac:dyDescent="0.25">
      <c r="A65" s="10" t="s">
        <v>240</v>
      </c>
      <c r="B65" s="11" t="str">
        <f>IF(H5="","",IF(COUNTIFS(DB_Paiements!B:B,H5,DB_Paiements!C:C,14)=0,"",LOOKUP(2,1/((DB_Paiements!B:B=H5)*(DB_Paiements!C:C=14)),DB_Paiements!D:D)))</f>
        <v/>
      </c>
      <c r="C65" s="11" t="str">
        <f>IF(H5="","",IF(COUNTIFS(DB_Paiements!B:B,H5,DB_Paiements!C:C,14)=0,"",LOOKUP(2,1/((DB_Paiements!B:B=H5)*(DB_Paiements!C:C=14)),DB_Paiements!E:E)))</f>
        <v/>
      </c>
      <c r="D65" s="3" t="str">
        <f>IF(H5="","",IF(COUNTIFS(DB_Paiements!B:B,H5,DB_Paiements!C:C,14)=0,"",LOOKUP(2,1/((DB_Paiements!B:B=H5)*(DB_Paiements!C:C=14)),DB_Paiements!F:F)))</f>
        <v/>
      </c>
      <c r="E65" s="3" t="str">
        <f>IF(H5="","",IF(COUNTIFS(DB_Paiements!B:B,H5,DB_Paiements!C:C,14)=0,"",LOOKUP(2,1/((DB_Paiements!B:B=H5)*(DB_Paiements!C:C=14)),DB_Paiements!G:G)))</f>
        <v/>
      </c>
      <c r="F65" s="3" t="str">
        <f>IF(H5="","",IF(COUNTIFS(DB_Paiements!B:B,H5,DB_Paiements!C:C,14)=0,"",LOOKUP(2,1/((DB_Paiements!B:B=H5)*(DB_Paiements!C:C=14)),DB_Paiements!H:H)))</f>
        <v/>
      </c>
    </row>
    <row r="66" spans="1:6" x14ac:dyDescent="0.25">
      <c r="A66" s="10" t="s">
        <v>241</v>
      </c>
      <c r="B66" s="11" t="str">
        <f>IF(H5="","",IF(COUNTIFS(DB_Paiements!B:B,H5,DB_Paiements!C:C,15)=0,"",LOOKUP(2,1/((DB_Paiements!B:B=H5)*(DB_Paiements!C:C=15)),DB_Paiements!D:D)))</f>
        <v/>
      </c>
      <c r="C66" s="11" t="str">
        <f>IF(H5="","",IF(COUNTIFS(DB_Paiements!B:B,H5,DB_Paiements!C:C,15)=0,"",LOOKUP(2,1/((DB_Paiements!B:B=H5)*(DB_Paiements!C:C=15)),DB_Paiements!E:E)))</f>
        <v/>
      </c>
      <c r="D66" s="3" t="str">
        <f>IF(H5="","",IF(COUNTIFS(DB_Paiements!B:B,H5,DB_Paiements!C:C,15)=0,"",LOOKUP(2,1/((DB_Paiements!B:B=H5)*(DB_Paiements!C:C=15)),DB_Paiements!F:F)))</f>
        <v/>
      </c>
      <c r="E66" s="3" t="str">
        <f>IF(H5="","",IF(COUNTIFS(DB_Paiements!B:B,H5,DB_Paiements!C:C,15)=0,"",LOOKUP(2,1/((DB_Paiements!B:B=H5)*(DB_Paiements!C:C=15)),DB_Paiements!G:G)))</f>
        <v/>
      </c>
      <c r="F66" s="3" t="str">
        <f>IF(H5="","",IF(COUNTIFS(DB_Paiements!B:B,H5,DB_Paiements!C:C,15)=0,"",LOOKUP(2,1/((DB_Paiements!B:B=H5)*(DB_Paiements!C:C=15)),DB_Paiements!H:H)))</f>
        <v/>
      </c>
    </row>
    <row r="67" spans="1:6" x14ac:dyDescent="0.25">
      <c r="A67" s="10" t="s">
        <v>242</v>
      </c>
      <c r="B67" s="11" t="str">
        <f>IF(H5="","",IF(COUNTIFS(DB_Paiements!B:B,H5,DB_Paiements!C:C,16)=0,"",LOOKUP(2,1/((DB_Paiements!B:B=H5)*(DB_Paiements!C:C=16)),DB_Paiements!D:D)))</f>
        <v/>
      </c>
      <c r="C67" s="11" t="str">
        <f>IF(H5="","",IF(COUNTIFS(DB_Paiements!B:B,H5,DB_Paiements!C:C,16)=0,"",LOOKUP(2,1/((DB_Paiements!B:B=H5)*(DB_Paiements!C:C=16)),DB_Paiements!E:E)))</f>
        <v/>
      </c>
      <c r="D67" s="3" t="str">
        <f>IF(H5="","",IF(COUNTIFS(DB_Paiements!B:B,H5,DB_Paiements!C:C,16)=0,"",LOOKUP(2,1/((DB_Paiements!B:B=H5)*(DB_Paiements!C:C=16)),DB_Paiements!F:F)))</f>
        <v/>
      </c>
      <c r="E67" s="3" t="str">
        <f>IF(H5="","",IF(COUNTIFS(DB_Paiements!B:B,H5,DB_Paiements!C:C,16)=0,"",LOOKUP(2,1/((DB_Paiements!B:B=H5)*(DB_Paiements!C:C=16)),DB_Paiements!G:G)))</f>
        <v/>
      </c>
      <c r="F67" s="3" t="str">
        <f>IF(H5="","",IF(COUNTIFS(DB_Paiements!B:B,H5,DB_Paiements!C:C,16)=0,"",LOOKUP(2,1/((DB_Paiements!B:B=H5)*(DB_Paiements!C:C=16)),DB_Paiements!H:H)))</f>
        <v/>
      </c>
    </row>
    <row r="68" spans="1:6" x14ac:dyDescent="0.25">
      <c r="A68" s="10" t="s">
        <v>243</v>
      </c>
      <c r="B68" s="11" t="str">
        <f>IF(H5="","",IF(COUNTIFS(DB_Paiements!B:B,H5,DB_Paiements!C:C,17)=0,"",LOOKUP(2,1/((DB_Paiements!B:B=H5)*(DB_Paiements!C:C=17)),DB_Paiements!D:D)))</f>
        <v/>
      </c>
      <c r="C68" s="11" t="str">
        <f>IF(H5="","",IF(COUNTIFS(DB_Paiements!B:B,H5,DB_Paiements!C:C,17)=0,"",LOOKUP(2,1/((DB_Paiements!B:B=H5)*(DB_Paiements!C:C=17)),DB_Paiements!E:E)))</f>
        <v/>
      </c>
      <c r="D68" s="3" t="str">
        <f>IF(H5="","",IF(COUNTIFS(DB_Paiements!B:B,H5,DB_Paiements!C:C,17)=0,"",LOOKUP(2,1/((DB_Paiements!B:B=H5)*(DB_Paiements!C:C=17)),DB_Paiements!F:F)))</f>
        <v/>
      </c>
      <c r="E68" s="3" t="str">
        <f>IF(H5="","",IF(COUNTIFS(DB_Paiements!B:B,H5,DB_Paiements!C:C,17)=0,"",LOOKUP(2,1/((DB_Paiements!B:B=H5)*(DB_Paiements!C:C=17)),DB_Paiements!G:G)))</f>
        <v/>
      </c>
      <c r="F68" s="3" t="str">
        <f>IF(H5="","",IF(COUNTIFS(DB_Paiements!B:B,H5,DB_Paiements!C:C,17)=0,"",LOOKUP(2,1/((DB_Paiements!B:B=H5)*(DB_Paiements!C:C=17)),DB_Paiements!H:H)))</f>
        <v/>
      </c>
    </row>
    <row r="69" spans="1:6" x14ac:dyDescent="0.25">
      <c r="A69" s="10" t="s">
        <v>244</v>
      </c>
      <c r="B69" s="11" t="str">
        <f>IF(H5="","",IF(COUNTIFS(DB_Paiements!B:B,H5,DB_Paiements!C:C,18)=0,"",LOOKUP(2,1/((DB_Paiements!B:B=H5)*(DB_Paiements!C:C=18)),DB_Paiements!D:D)))</f>
        <v/>
      </c>
      <c r="C69" s="11" t="str">
        <f>IF(H5="","",IF(COUNTIFS(DB_Paiements!B:B,H5,DB_Paiements!C:C,18)=0,"",LOOKUP(2,1/((DB_Paiements!B:B=H5)*(DB_Paiements!C:C=18)),DB_Paiements!E:E)))</f>
        <v/>
      </c>
      <c r="D69" s="3" t="str">
        <f>IF(H5="","",IF(COUNTIFS(DB_Paiements!B:B,H5,DB_Paiements!C:C,18)=0,"",LOOKUP(2,1/((DB_Paiements!B:B=H5)*(DB_Paiements!C:C=18)),DB_Paiements!F:F)))</f>
        <v/>
      </c>
      <c r="E69" s="3" t="str">
        <f>IF(H5="","",IF(COUNTIFS(DB_Paiements!B:B,H5,DB_Paiements!C:C,18)=0,"",LOOKUP(2,1/((DB_Paiements!B:B=H5)*(DB_Paiements!C:C=18)),DB_Paiements!G:G)))</f>
        <v/>
      </c>
      <c r="F69" s="3" t="str">
        <f>IF(H5="","",IF(COUNTIFS(DB_Paiements!B:B,H5,DB_Paiements!C:C,18)=0,"",LOOKUP(2,1/((DB_Paiements!B:B=H5)*(DB_Paiements!C:C=18)),DB_Paiements!H:H)))</f>
        <v/>
      </c>
    </row>
    <row r="70" spans="1:6" x14ac:dyDescent="0.25">
      <c r="A70" s="10" t="s">
        <v>245</v>
      </c>
      <c r="B70" s="11" t="str">
        <f>IF(H5="","",IF(COUNTIFS(DB_Paiements!B:B,H5,DB_Paiements!C:C,19)=0,"",LOOKUP(2,1/((DB_Paiements!B:B=H5)*(DB_Paiements!C:C=19)),DB_Paiements!D:D)))</f>
        <v/>
      </c>
      <c r="C70" s="11" t="str">
        <f>IF(H5="","",IF(COUNTIFS(DB_Paiements!B:B,H5,DB_Paiements!C:C,19)=0,"",LOOKUP(2,1/((DB_Paiements!B:B=H5)*(DB_Paiements!C:C=19)),DB_Paiements!E:E)))</f>
        <v/>
      </c>
      <c r="D70" s="3" t="str">
        <f>IF(H5="","",IF(COUNTIFS(DB_Paiements!B:B,H5,DB_Paiements!C:C,19)=0,"",LOOKUP(2,1/((DB_Paiements!B:B=H5)*(DB_Paiements!C:C=19)),DB_Paiements!F:F)))</f>
        <v/>
      </c>
      <c r="E70" s="3" t="str">
        <f>IF(H5="","",IF(COUNTIFS(DB_Paiements!B:B,H5,DB_Paiements!C:C,19)=0,"",LOOKUP(2,1/((DB_Paiements!B:B=H5)*(DB_Paiements!C:C=19)),DB_Paiements!G:G)))</f>
        <v/>
      </c>
      <c r="F70" s="3" t="str">
        <f>IF(H5="","",IF(COUNTIFS(DB_Paiements!B:B,H5,DB_Paiements!C:C,19)=0,"",LOOKUP(2,1/((DB_Paiements!B:B=H5)*(DB_Paiements!C:C=19)),DB_Paiements!H:H)))</f>
        <v/>
      </c>
    </row>
    <row r="71" spans="1:6" x14ac:dyDescent="0.25">
      <c r="A71" s="10" t="s">
        <v>246</v>
      </c>
      <c r="B71" s="11" t="str">
        <f>IF(H5="","",IF(COUNTIFS(DB_Paiements!B:B,H5,DB_Paiements!C:C,20)=0,"",LOOKUP(2,1/((DB_Paiements!B:B=H5)*(DB_Paiements!C:C=20)),DB_Paiements!D:D)))</f>
        <v/>
      </c>
      <c r="C71" s="11" t="str">
        <f>IF(H5="","",IF(COUNTIFS(DB_Paiements!B:B,H5,DB_Paiements!C:C,20)=0,"",LOOKUP(2,1/((DB_Paiements!B:B=H5)*(DB_Paiements!C:C=20)),DB_Paiements!E:E)))</f>
        <v/>
      </c>
      <c r="D71" s="3" t="str">
        <f>IF(H5="","",IF(COUNTIFS(DB_Paiements!B:B,H5,DB_Paiements!C:C,20)=0,"",LOOKUP(2,1/((DB_Paiements!B:B=H5)*(DB_Paiements!C:C=20)),DB_Paiements!F:F)))</f>
        <v/>
      </c>
      <c r="E71" s="3" t="str">
        <f>IF(H5="","",IF(COUNTIFS(DB_Paiements!B:B,H5,DB_Paiements!C:C,20)=0,"",LOOKUP(2,1/((DB_Paiements!B:B=H5)*(DB_Paiements!C:C=20)),DB_Paiements!G:G)))</f>
        <v/>
      </c>
      <c r="F71" s="3" t="str">
        <f>IF(H5="","",IF(COUNTIFS(DB_Paiements!B:B,H5,DB_Paiements!C:C,20)=0,"",LOOKUP(2,1/((DB_Paiements!B:B=H5)*(DB_Paiements!C:C=20)),DB_Paiements!H:H)))</f>
        <v/>
      </c>
    </row>
  </sheetData>
  <mergeCells count="37">
    <mergeCell ref="J36:K36"/>
    <mergeCell ref="J26:K26"/>
    <mergeCell ref="J35:K35"/>
    <mergeCell ref="J4:K4"/>
    <mergeCell ref="J11:K11"/>
    <mergeCell ref="J20:K20"/>
    <mergeCell ref="J16:K16"/>
    <mergeCell ref="J32:K32"/>
    <mergeCell ref="J7:K7"/>
    <mergeCell ref="J25:K25"/>
    <mergeCell ref="J31:K31"/>
    <mergeCell ref="J22:K22"/>
    <mergeCell ref="J21:K21"/>
    <mergeCell ref="J12:K12"/>
    <mergeCell ref="J18:K18"/>
    <mergeCell ref="J33:K33"/>
    <mergeCell ref="A1:H1"/>
    <mergeCell ref="J13:K13"/>
    <mergeCell ref="J9:K9"/>
    <mergeCell ref="J30:K30"/>
    <mergeCell ref="J34:K34"/>
    <mergeCell ref="J6:K6"/>
    <mergeCell ref="J24:K24"/>
    <mergeCell ref="J15:K15"/>
    <mergeCell ref="J27:K27"/>
    <mergeCell ref="J3:K3"/>
    <mergeCell ref="J2:K2"/>
    <mergeCell ref="J23:K23"/>
    <mergeCell ref="J8:K8"/>
    <mergeCell ref="J17:K17"/>
    <mergeCell ref="J29:K29"/>
    <mergeCell ref="J5:K5"/>
    <mergeCell ref="J14:K14"/>
    <mergeCell ref="J10:K10"/>
    <mergeCell ref="J1:K1"/>
    <mergeCell ref="J19:K19"/>
    <mergeCell ref="J28:K28"/>
  </mergeCells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700-000000000000}">
          <x14:formula1>
            <xm:f>Lookups!A:A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DB_Patients</vt:lpstr>
      <vt:lpstr>DB_Appareils</vt:lpstr>
      <vt:lpstr>DB_Locations</vt:lpstr>
      <vt:lpstr>DB_Paiements</vt:lpstr>
      <vt:lpstr>Lookups</vt:lpstr>
      <vt:lpstr>FichePatient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Administrateur</cp:lastModifiedBy>
  <cp:lastPrinted>2025-08-24T18:23:04Z</cp:lastPrinted>
  <dcterms:created xsi:type="dcterms:W3CDTF">2025-08-07T10:15:40Z</dcterms:created>
  <dcterms:modified xsi:type="dcterms:W3CDTF">2025-08-26T17:33:03Z</dcterms:modified>
</cp:coreProperties>
</file>